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-2019\2019-Evaluasi Hasil Renja\Evaluasi Renja TRIWULAN II - 2019\"/>
    </mc:Choice>
  </mc:AlternateContent>
  <xr:revisionPtr revIDLastSave="0" documentId="13_ncr:1_{92A67B6E-BC94-49DC-9770-8CC4EE954ED4}" xr6:coauthVersionLast="43" xr6:coauthVersionMax="43" xr10:uidLastSave="{00000000-0000-0000-0000-000000000000}"/>
  <bookViews>
    <workbookView xWindow="690" yWindow="690" windowWidth="18870" windowHeight="12645" tabRatio="426" firstSheet="3" activeTab="3" xr2:uid="{00000000-000D-0000-FFFF-FFFF00000000}"/>
  </bookViews>
  <sheets>
    <sheet name="Form2-Kominfo" sheetId="7" state="hidden" r:id="rId1"/>
    <sheet name="EVALUASI RENJA TW 1 2017" sheetId="1" state="hidden" r:id="rId2"/>
    <sheet name="EVALUASI RENJA TW 2 2019" sheetId="11" r:id="rId3"/>
    <sheet name="Capaian Kinerja &amp; Realiss Angg" sheetId="3" r:id="rId4"/>
    <sheet name="Sheet1" sheetId="8" state="hidden" r:id="rId5"/>
    <sheet name="Sheet2" sheetId="9" state="hidden" r:id="rId6"/>
  </sheets>
  <externalReferences>
    <externalReference r:id="rId7"/>
    <externalReference r:id="rId8"/>
  </externalReferences>
  <definedNames>
    <definedName name="_xlnm.Print_Area" localSheetId="3">'Capaian Kinerja &amp; Realiss Angg'!$A$5:$K$38</definedName>
    <definedName name="_xlnm.Print_Area" localSheetId="1">'EVALUASI RENJA TW 1 2017'!$A$1:$AI$91</definedName>
    <definedName name="_xlnm.Print_Area" localSheetId="2">'EVALUASI RENJA TW 2 2019'!$A$1:$AA$89</definedName>
    <definedName name="_xlnm.Print_Titles" localSheetId="1">'EVALUASI RENJA TW 1 2017'!$8:$11</definedName>
    <definedName name="_xlnm.Print_Titles" localSheetId="2">'EVALUASI RENJA TW 2 2019'!$8:$11</definedName>
    <definedName name="_xlnm.Print_Titles" localSheetId="0">'Form2-Kominfo'!$3:$5</definedName>
    <definedName name="_xlnm.Print_Titles" localSheetId="4">Sheet1!$5:$7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9" i="3" l="1"/>
  <c r="I26" i="3"/>
  <c r="I24" i="3"/>
  <c r="I21" i="3"/>
  <c r="I20" i="3"/>
  <c r="I15" i="3"/>
  <c r="I14" i="3"/>
  <c r="I13" i="3"/>
  <c r="H24" i="3"/>
  <c r="H26" i="3"/>
  <c r="H21" i="3"/>
  <c r="H20" i="3"/>
  <c r="H19" i="3"/>
  <c r="H15" i="3"/>
  <c r="H14" i="3"/>
  <c r="H13" i="3"/>
  <c r="Z72" i="11" l="1"/>
  <c r="Z71" i="11"/>
  <c r="AA60" i="11"/>
  <c r="AA44" i="11"/>
  <c r="Y66" i="11"/>
  <c r="Y62" i="11"/>
  <c r="Y61" i="11"/>
  <c r="Y60" i="11"/>
  <c r="Y59" i="11"/>
  <c r="Y58" i="11"/>
  <c r="Y57" i="11"/>
  <c r="Y56" i="11"/>
  <c r="Y52" i="11"/>
  <c r="Y48" i="11"/>
  <c r="Y47" i="11"/>
  <c r="Y46" i="11"/>
  <c r="Y39" i="11"/>
  <c r="U60" i="11"/>
  <c r="U59" i="11"/>
  <c r="U58" i="11"/>
  <c r="U57" i="11"/>
  <c r="U56" i="11"/>
  <c r="U47" i="11"/>
  <c r="U42" i="11"/>
  <c r="U41" i="11"/>
  <c r="U40" i="11"/>
  <c r="U39" i="11"/>
  <c r="U37" i="11"/>
  <c r="U38" i="11"/>
  <c r="U33" i="11"/>
  <c r="U29" i="11"/>
  <c r="U28" i="11"/>
  <c r="U27" i="11"/>
  <c r="U22" i="11"/>
  <c r="U21" i="11"/>
  <c r="U20" i="11"/>
  <c r="U19" i="11"/>
  <c r="U18" i="11"/>
  <c r="U17" i="11"/>
  <c r="U16" i="11"/>
  <c r="Y45" i="11" l="1"/>
  <c r="Y70" i="11"/>
  <c r="Y37" i="11"/>
  <c r="Y33" i="11"/>
  <c r="Y29" i="11"/>
  <c r="Y26" i="11"/>
  <c r="Y22" i="11"/>
  <c r="Y21" i="11"/>
  <c r="Y18" i="11"/>
  <c r="Y17" i="11"/>
  <c r="Y16" i="11"/>
  <c r="S58" i="11"/>
  <c r="S57" i="11"/>
  <c r="N69" i="11" l="1"/>
  <c r="M58" i="11"/>
  <c r="N58" i="11"/>
  <c r="N51" i="11"/>
  <c r="N42" i="11"/>
  <c r="N26" i="11"/>
  <c r="N20" i="11"/>
  <c r="I25" i="3" l="1"/>
  <c r="I23" i="3"/>
  <c r="H25" i="3"/>
  <c r="H23" i="3"/>
  <c r="G15" i="3"/>
  <c r="H12" i="3" l="1"/>
  <c r="H18" i="3"/>
  <c r="I18" i="3"/>
  <c r="I12" i="3"/>
  <c r="Y44" i="11"/>
  <c r="Y43" i="11"/>
  <c r="Y42" i="11"/>
  <c r="Y41" i="11"/>
  <c r="Y28" i="11"/>
  <c r="Y27" i="11"/>
  <c r="K58" i="11" l="1"/>
  <c r="J55" i="11" l="1"/>
  <c r="J36" i="11"/>
  <c r="J15" i="11"/>
  <c r="J25" i="11"/>
  <c r="L70" i="11" l="1"/>
  <c r="L62" i="11"/>
  <c r="T62" i="11" s="1"/>
  <c r="X62" i="11" s="1"/>
  <c r="Z62" i="11" s="1"/>
  <c r="L61" i="11"/>
  <c r="L60" i="11"/>
  <c r="L59" i="11"/>
  <c r="L58" i="11"/>
  <c r="T58" i="11" s="1"/>
  <c r="X58" i="11" s="1"/>
  <c r="L57" i="11"/>
  <c r="T57" i="11" s="1"/>
  <c r="L56" i="11"/>
  <c r="L52" i="11"/>
  <c r="L66" i="11"/>
  <c r="N66" i="11" s="1"/>
  <c r="N65" i="11" s="1"/>
  <c r="L48" i="11"/>
  <c r="L47" i="11"/>
  <c r="L46" i="11"/>
  <c r="L45" i="11"/>
  <c r="N45" i="11" s="1"/>
  <c r="T45" i="11" s="1"/>
  <c r="L44" i="11"/>
  <c r="N44" i="11" s="1"/>
  <c r="L43" i="11"/>
  <c r="T43" i="11" s="1"/>
  <c r="L42" i="11"/>
  <c r="T42" i="11" s="1"/>
  <c r="L41" i="11"/>
  <c r="N41" i="11" s="1"/>
  <c r="T41" i="11" s="1"/>
  <c r="L40" i="11"/>
  <c r="N40" i="11" s="1"/>
  <c r="T40" i="11" s="1"/>
  <c r="L39" i="11"/>
  <c r="N39" i="11" s="1"/>
  <c r="T39" i="11" s="1"/>
  <c r="L38" i="11"/>
  <c r="T38" i="11" s="1"/>
  <c r="L37" i="11"/>
  <c r="N37" i="11" s="1"/>
  <c r="T37" i="11" s="1"/>
  <c r="L33" i="11"/>
  <c r="N33" i="11" s="1"/>
  <c r="N32" i="11" s="1"/>
  <c r="L29" i="11"/>
  <c r="N29" i="11" s="1"/>
  <c r="L28" i="11"/>
  <c r="N28" i="11" s="1"/>
  <c r="L27" i="11"/>
  <c r="N27" i="11" s="1"/>
  <c r="L26" i="11"/>
  <c r="L22" i="11"/>
  <c r="N22" i="11" s="1"/>
  <c r="L21" i="11"/>
  <c r="N21" i="11" s="1"/>
  <c r="L20" i="11"/>
  <c r="L19" i="11"/>
  <c r="N19" i="11" s="1"/>
  <c r="L18" i="11"/>
  <c r="N18" i="11" s="1"/>
  <c r="L17" i="11"/>
  <c r="N17" i="11" s="1"/>
  <c r="L16" i="11"/>
  <c r="N16" i="11" s="1"/>
  <c r="F51" i="11"/>
  <c r="H51" i="11"/>
  <c r="J51" i="11"/>
  <c r="V37" i="11" l="1"/>
  <c r="X37" i="11"/>
  <c r="X39" i="11"/>
  <c r="Z39" i="11" s="1"/>
  <c r="V39" i="11"/>
  <c r="X43" i="11"/>
  <c r="V43" i="11"/>
  <c r="X45" i="11"/>
  <c r="V45" i="11"/>
  <c r="X40" i="11"/>
  <c r="V40" i="11"/>
  <c r="X41" i="11"/>
  <c r="Z41" i="11" s="1"/>
  <c r="V41" i="11"/>
  <c r="X38" i="11"/>
  <c r="Z38" i="11" s="1"/>
  <c r="V38" i="11"/>
  <c r="X42" i="11"/>
  <c r="V42" i="11"/>
  <c r="N56" i="11"/>
  <c r="T56" i="11" s="1"/>
  <c r="T44" i="11"/>
  <c r="N48" i="11"/>
  <c r="T48" i="11" s="1"/>
  <c r="N61" i="11"/>
  <c r="T61" i="11" s="1"/>
  <c r="N47" i="11"/>
  <c r="T47" i="11" s="1"/>
  <c r="T16" i="11"/>
  <c r="N15" i="11"/>
  <c r="N25" i="11"/>
  <c r="N60" i="11"/>
  <c r="T60" i="11" s="1"/>
  <c r="N59" i="11"/>
  <c r="T59" i="11"/>
  <c r="X59" i="11" s="1"/>
  <c r="L36" i="11"/>
  <c r="L55" i="11"/>
  <c r="AA52" i="11"/>
  <c r="AA57" i="11" s="1"/>
  <c r="X48" i="11" l="1"/>
  <c r="V48" i="11"/>
  <c r="V16" i="11"/>
  <c r="X16" i="11"/>
  <c r="Z16" i="11" s="1"/>
  <c r="X44" i="11"/>
  <c r="Z44" i="11" s="1"/>
  <c r="V44" i="11"/>
  <c r="X60" i="11"/>
  <c r="Z60" i="11" s="1"/>
  <c r="V60" i="11"/>
  <c r="X47" i="11"/>
  <c r="Z47" i="11" s="1"/>
  <c r="V47" i="11"/>
  <c r="X56" i="11"/>
  <c r="Z56" i="11" s="1"/>
  <c r="V56" i="11"/>
  <c r="N36" i="11"/>
  <c r="N55" i="11"/>
  <c r="Y40" i="11"/>
  <c r="N14" i="11" l="1"/>
  <c r="I32" i="11"/>
  <c r="J32" i="11"/>
  <c r="J65" i="11" l="1"/>
  <c r="J73" i="11" s="1"/>
  <c r="G24" i="3"/>
  <c r="G23" i="3" s="1"/>
  <c r="J69" i="11"/>
  <c r="J14" i="11" s="1"/>
  <c r="G26" i="3"/>
  <c r="G25" i="3" l="1"/>
  <c r="J26" i="3"/>
  <c r="K26" i="3" s="1"/>
  <c r="U45" i="11"/>
  <c r="S70" i="11"/>
  <c r="S52" i="11"/>
  <c r="F69" i="11"/>
  <c r="F65" i="11"/>
  <c r="F36" i="11"/>
  <c r="J25" i="3" l="1"/>
  <c r="K25" i="3" s="1"/>
  <c r="L15" i="11"/>
  <c r="H55" i="11"/>
  <c r="H14" i="11" s="1"/>
  <c r="L69" i="11" l="1"/>
  <c r="T70" i="11" l="1"/>
  <c r="T46" i="11"/>
  <c r="F15" i="11"/>
  <c r="X46" i="11" l="1"/>
  <c r="Z46" i="11" s="1"/>
  <c r="V46" i="11"/>
  <c r="V49" i="11" s="1"/>
  <c r="X70" i="11"/>
  <c r="V70" i="11"/>
  <c r="V71" i="11" s="1"/>
  <c r="T69" i="11"/>
  <c r="X69" i="11" s="1"/>
  <c r="V69" i="11" l="1"/>
  <c r="E26" i="3" l="1"/>
  <c r="F26" i="3" s="1"/>
  <c r="T26" i="11"/>
  <c r="X26" i="11" s="1"/>
  <c r="Z26" i="11" s="1"/>
  <c r="G21" i="3"/>
  <c r="G20" i="3"/>
  <c r="G19" i="3"/>
  <c r="G13" i="3"/>
  <c r="J13" i="3" s="1"/>
  <c r="L65" i="11"/>
  <c r="AD57" i="11"/>
  <c r="K57" i="11"/>
  <c r="F57" i="11"/>
  <c r="F55" i="11" s="1"/>
  <c r="T52" i="11"/>
  <c r="L51" i="11"/>
  <c r="AA43" i="11"/>
  <c r="AD42" i="11"/>
  <c r="AD40" i="11"/>
  <c r="AD39" i="11"/>
  <c r="AD33" i="11"/>
  <c r="L32" i="11"/>
  <c r="F32" i="11"/>
  <c r="AD29" i="11"/>
  <c r="AD28" i="11"/>
  <c r="AD27" i="11"/>
  <c r="L25" i="11"/>
  <c r="F25" i="11"/>
  <c r="AD22" i="11"/>
  <c r="AD21" i="11"/>
  <c r="AD20" i="11"/>
  <c r="AD19" i="11"/>
  <c r="AD18" i="11"/>
  <c r="AD17" i="11"/>
  <c r="AA17" i="11"/>
  <c r="AA18" i="11" s="1"/>
  <c r="AA19" i="11" s="1"/>
  <c r="AD16" i="11"/>
  <c r="AC16" i="11"/>
  <c r="V52" i="11" l="1"/>
  <c r="X52" i="11"/>
  <c r="Z52" i="11" s="1"/>
  <c r="Z53" i="11" s="1"/>
  <c r="L73" i="11"/>
  <c r="G18" i="3"/>
  <c r="F14" i="11"/>
  <c r="L14" i="11"/>
  <c r="G14" i="3"/>
  <c r="T66" i="11"/>
  <c r="T18" i="11"/>
  <c r="X18" i="11" s="1"/>
  <c r="Z18" i="11" s="1"/>
  <c r="T21" i="11"/>
  <c r="X21" i="11" s="1"/>
  <c r="Z21" i="11" s="1"/>
  <c r="T33" i="11"/>
  <c r="T27" i="11"/>
  <c r="T28" i="11"/>
  <c r="V28" i="11" s="1"/>
  <c r="T20" i="11"/>
  <c r="X20" i="11" s="1"/>
  <c r="Z20" i="11" s="1"/>
  <c r="T17" i="11"/>
  <c r="T19" i="11"/>
  <c r="T22" i="11"/>
  <c r="V26" i="11"/>
  <c r="V59" i="11"/>
  <c r="V61" i="11"/>
  <c r="AA20" i="11"/>
  <c r="AA21" i="11" s="1"/>
  <c r="V62" i="11"/>
  <c r="V17" i="11" l="1"/>
  <c r="X17" i="11"/>
  <c r="Z17" i="11" s="1"/>
  <c r="V66" i="11"/>
  <c r="V67" i="11" s="1"/>
  <c r="V72" i="11" s="1"/>
  <c r="T36" i="11"/>
  <c r="T15" i="11"/>
  <c r="V15" i="11" s="1"/>
  <c r="E13" i="3" s="1"/>
  <c r="V27" i="11"/>
  <c r="X27" i="11"/>
  <c r="Z27" i="11" s="1"/>
  <c r="X19" i="11"/>
  <c r="Z19" i="11" s="1"/>
  <c r="V33" i="11"/>
  <c r="V34" i="11" s="1"/>
  <c r="V35" i="11" s="1"/>
  <c r="X22" i="11"/>
  <c r="Z22" i="11" s="1"/>
  <c r="V22" i="11"/>
  <c r="T65" i="11"/>
  <c r="X66" i="11"/>
  <c r="Z66" i="11" s="1"/>
  <c r="Z67" i="11" s="1"/>
  <c r="AC33" i="11"/>
  <c r="X33" i="11"/>
  <c r="Z33" i="11" s="1"/>
  <c r="T32" i="11"/>
  <c r="V32" i="11" s="1"/>
  <c r="E15" i="3" s="1"/>
  <c r="V20" i="11"/>
  <c r="AC22" i="11"/>
  <c r="AC19" i="11"/>
  <c r="AC18" i="11"/>
  <c r="AC17" i="11"/>
  <c r="V18" i="11"/>
  <c r="V19" i="11"/>
  <c r="AC20" i="11"/>
  <c r="AC27" i="11"/>
  <c r="T29" i="11"/>
  <c r="AA22" i="11"/>
  <c r="AA26" i="11" s="1"/>
  <c r="AA27" i="11" s="1"/>
  <c r="AA28" i="11" s="1"/>
  <c r="AA29" i="11" s="1"/>
  <c r="V21" i="11"/>
  <c r="AC21" i="11"/>
  <c r="X61" i="11"/>
  <c r="Z61" i="11" s="1"/>
  <c r="AC39" i="11"/>
  <c r="Z59" i="11"/>
  <c r="Z43" i="11"/>
  <c r="V58" i="11"/>
  <c r="Z58" i="11"/>
  <c r="AA61" i="11"/>
  <c r="AA58" i="11"/>
  <c r="AC28" i="11"/>
  <c r="X28" i="11"/>
  <c r="Z28" i="11" s="1"/>
  <c r="Z45" i="11"/>
  <c r="AC40" i="11"/>
  <c r="Z40" i="11"/>
  <c r="V30" i="11" l="1"/>
  <c r="T25" i="11"/>
  <c r="V25" i="11" s="1"/>
  <c r="E14" i="3" s="1"/>
  <c r="V29" i="11"/>
  <c r="Z23" i="11"/>
  <c r="V23" i="11"/>
  <c r="X57" i="11"/>
  <c r="Z57" i="11" s="1"/>
  <c r="Z63" i="11" s="1"/>
  <c r="T55" i="11"/>
  <c r="V36" i="11"/>
  <c r="E19" i="3" s="1"/>
  <c r="X32" i="11"/>
  <c r="Z32" i="11" s="1"/>
  <c r="Z34" i="11"/>
  <c r="Z35" i="11" s="1"/>
  <c r="X15" i="11"/>
  <c r="Z15" i="11" s="1"/>
  <c r="V57" i="11"/>
  <c r="V63" i="11" s="1"/>
  <c r="V31" i="11"/>
  <c r="X65" i="11"/>
  <c r="Z65" i="11" s="1"/>
  <c r="V65" i="11"/>
  <c r="E24" i="3" s="1"/>
  <c r="X29" i="11"/>
  <c r="Z29" i="11" s="1"/>
  <c r="Z30" i="11" s="1"/>
  <c r="AC29" i="11"/>
  <c r="AC57" i="11"/>
  <c r="AC42" i="11"/>
  <c r="V50" i="11"/>
  <c r="Z42" i="11"/>
  <c r="Z49" i="11" s="1"/>
  <c r="AA62" i="11"/>
  <c r="AA59" i="11"/>
  <c r="Z31" i="11" l="1"/>
  <c r="V24" i="11"/>
  <c r="V55" i="11"/>
  <c r="E21" i="3" s="1"/>
  <c r="V64" i="11"/>
  <c r="V68" i="11"/>
  <c r="X25" i="11"/>
  <c r="Z25" i="11" s="1"/>
  <c r="Z50" i="11"/>
  <c r="X36" i="11"/>
  <c r="Z36" i="11" s="1"/>
  <c r="X55" i="11"/>
  <c r="Z55" i="11" s="1"/>
  <c r="Z24" i="11"/>
  <c r="Z74" i="11" l="1"/>
  <c r="Z64" i="11"/>
  <c r="Z68" i="11"/>
  <c r="G64" i="8" l="1"/>
  <c r="G56" i="8"/>
  <c r="G49" i="8"/>
  <c r="G34" i="8"/>
  <c r="G30" i="8"/>
  <c r="G22" i="8"/>
  <c r="G12" i="8"/>
  <c r="E64" i="8"/>
  <c r="E56" i="8"/>
  <c r="E49" i="8"/>
  <c r="E34" i="8"/>
  <c r="E30" i="8"/>
  <c r="D30" i="8"/>
  <c r="E22" i="8"/>
  <c r="E12" i="8"/>
  <c r="G11" i="8" l="1"/>
  <c r="J14" i="3"/>
  <c r="B47" i="8"/>
  <c r="E11" i="8"/>
  <c r="AF18" i="1" l="1"/>
  <c r="O33" i="1" l="1"/>
  <c r="O25" i="1"/>
  <c r="O15" i="1"/>
  <c r="AA70" i="1" l="1"/>
  <c r="AE70" i="1" s="1"/>
  <c r="AG70" i="1" s="1"/>
  <c r="AG71" i="1" s="1"/>
  <c r="AG72" i="1" s="1"/>
  <c r="Z69" i="1"/>
  <c r="Y69" i="1"/>
  <c r="W69" i="1"/>
  <c r="U69" i="1"/>
  <c r="S69" i="1"/>
  <c r="Q69" i="1"/>
  <c r="O69" i="1"/>
  <c r="M69" i="1"/>
  <c r="K69" i="1"/>
  <c r="AA66" i="1"/>
  <c r="AC66" i="1" s="1"/>
  <c r="AA65" i="1"/>
  <c r="AE65" i="1" s="1"/>
  <c r="AG65" i="1" s="1"/>
  <c r="AA64" i="1"/>
  <c r="AC64" i="1" s="1"/>
  <c r="K64" i="1"/>
  <c r="K59" i="1" s="1"/>
  <c r="K38" i="1" s="1"/>
  <c r="AA63" i="1"/>
  <c r="AC63" i="1" s="1"/>
  <c r="AA62" i="1"/>
  <c r="AE62" i="1" s="1"/>
  <c r="AG62" i="1" s="1"/>
  <c r="AL61" i="1"/>
  <c r="AA61" i="1"/>
  <c r="Z61" i="1"/>
  <c r="I61" i="1"/>
  <c r="I59" i="1" s="1"/>
  <c r="AH60" i="1"/>
  <c r="AH64" i="1" s="1"/>
  <c r="AA60" i="1"/>
  <c r="AE60" i="1" s="1"/>
  <c r="AG60" i="1" s="1"/>
  <c r="Z60" i="1"/>
  <c r="Z59" i="1"/>
  <c r="Y59" i="1"/>
  <c r="W59" i="1"/>
  <c r="U59" i="1"/>
  <c r="S59" i="1"/>
  <c r="Q59" i="1"/>
  <c r="O59" i="1"/>
  <c r="M59" i="1"/>
  <c r="AL56" i="1"/>
  <c r="AC56" i="1"/>
  <c r="AA56" i="1"/>
  <c r="AK56" i="1" s="1"/>
  <c r="Z56" i="1"/>
  <c r="O56" i="1"/>
  <c r="AA55" i="1"/>
  <c r="AE55" i="1" s="1"/>
  <c r="AG55" i="1" s="1"/>
  <c r="AH54" i="1"/>
  <c r="AA54" i="1"/>
  <c r="AE54" i="1" s="1"/>
  <c r="AG54" i="1" s="1"/>
  <c r="AL53" i="1"/>
  <c r="AA53" i="1"/>
  <c r="AK53" i="1" s="1"/>
  <c r="Y52" i="1"/>
  <c r="W52" i="1"/>
  <c r="U52" i="1"/>
  <c r="S52" i="1"/>
  <c r="Q52" i="1"/>
  <c r="M52" i="1"/>
  <c r="I52" i="1"/>
  <c r="AA48" i="1"/>
  <c r="AC48" i="1" s="1"/>
  <c r="AA47" i="1"/>
  <c r="AC47" i="1" s="1"/>
  <c r="AA46" i="1"/>
  <c r="AC46" i="1" s="1"/>
  <c r="AA45" i="1"/>
  <c r="AC45" i="1" s="1"/>
  <c r="AA44" i="1"/>
  <c r="AC44" i="1" s="1"/>
  <c r="AL43" i="1"/>
  <c r="AA43" i="1"/>
  <c r="AC43" i="1" s="1"/>
  <c r="AH42" i="1"/>
  <c r="AA42" i="1"/>
  <c r="AC42" i="1" s="1"/>
  <c r="AL41" i="1"/>
  <c r="AA41" i="1"/>
  <c r="AK41" i="1" s="1"/>
  <c r="Z41" i="1"/>
  <c r="AA40" i="1"/>
  <c r="AC40" i="1" s="1"/>
  <c r="AL39" i="1"/>
  <c r="AA39" i="1"/>
  <c r="AC39" i="1" s="1"/>
  <c r="AL38" i="1"/>
  <c r="AA38" i="1"/>
  <c r="AK38" i="1" s="1"/>
  <c r="Y37" i="1"/>
  <c r="W37" i="1"/>
  <c r="U37" i="1"/>
  <c r="S37" i="1"/>
  <c r="Q37" i="1"/>
  <c r="M37" i="1"/>
  <c r="I37" i="1"/>
  <c r="AL34" i="1"/>
  <c r="AA34" i="1"/>
  <c r="AC34" i="1" s="1"/>
  <c r="AC35" i="1" s="1"/>
  <c r="AE34" i="1"/>
  <c r="Y33" i="1"/>
  <c r="W33" i="1"/>
  <c r="U33" i="1"/>
  <c r="S33" i="1"/>
  <c r="Q33" i="1"/>
  <c r="P33" i="1"/>
  <c r="M33" i="1"/>
  <c r="K33" i="1"/>
  <c r="I33" i="1"/>
  <c r="AL30" i="1"/>
  <c r="AA30" i="1"/>
  <c r="Z30" i="1"/>
  <c r="AL29" i="1"/>
  <c r="AA29" i="1"/>
  <c r="AK29" i="1" s="1"/>
  <c r="Z29" i="1"/>
  <c r="AL28" i="1"/>
  <c r="AA28" i="1"/>
  <c r="AK28" i="1" s="1"/>
  <c r="AL27" i="1"/>
  <c r="AA27" i="1"/>
  <c r="AK27" i="1" s="1"/>
  <c r="Z27" i="1"/>
  <c r="AE27" i="1"/>
  <c r="AG27" i="1" s="1"/>
  <c r="AL26" i="1"/>
  <c r="AA26" i="1"/>
  <c r="AK26" i="1" s="1"/>
  <c r="Z26" i="1"/>
  <c r="AE26" i="1"/>
  <c r="Y25" i="1"/>
  <c r="W25" i="1"/>
  <c r="U25" i="1"/>
  <c r="S25" i="1"/>
  <c r="Q25" i="1"/>
  <c r="M25" i="1"/>
  <c r="K25" i="1"/>
  <c r="I25" i="1"/>
  <c r="AL22" i="1"/>
  <c r="AA22" i="1"/>
  <c r="AK22" i="1" s="1"/>
  <c r="Z22" i="1"/>
  <c r="AE22" i="1"/>
  <c r="AG22" i="1" s="1"/>
  <c r="AL21" i="1"/>
  <c r="AA21" i="1"/>
  <c r="AK21" i="1" s="1"/>
  <c r="Z21" i="1"/>
  <c r="AL20" i="1"/>
  <c r="AA20" i="1"/>
  <c r="AK20" i="1" s="1"/>
  <c r="AL19" i="1"/>
  <c r="AA19" i="1"/>
  <c r="AK19" i="1" s="1"/>
  <c r="AL18" i="1"/>
  <c r="AA18" i="1"/>
  <c r="AK18" i="1" s="1"/>
  <c r="AL17" i="1"/>
  <c r="AH17" i="1"/>
  <c r="AH18" i="1" s="1"/>
  <c r="AH19" i="1" s="1"/>
  <c r="AA17" i="1"/>
  <c r="AK17" i="1" s="1"/>
  <c r="AL16" i="1"/>
  <c r="AK16" i="1"/>
  <c r="AA16" i="1"/>
  <c r="AC16" i="1" s="1"/>
  <c r="AE16" i="1"/>
  <c r="Y15" i="1"/>
  <c r="W15" i="1"/>
  <c r="U15" i="1"/>
  <c r="S15" i="1"/>
  <c r="S73" i="1" s="1"/>
  <c r="Q15" i="1"/>
  <c r="M15" i="1"/>
  <c r="K15" i="1"/>
  <c r="I15" i="1"/>
  <c r="I14" i="1" s="1"/>
  <c r="T14" i="7"/>
  <c r="R14" i="7"/>
  <c r="T11" i="7"/>
  <c r="T10" i="7"/>
  <c r="T9" i="7"/>
  <c r="T8" i="7"/>
  <c r="M14" i="1" l="1"/>
  <c r="AE56" i="1"/>
  <c r="AG56" i="1" s="1"/>
  <c r="AE20" i="1"/>
  <c r="AG20" i="1" s="1"/>
  <c r="Y14" i="1"/>
  <c r="AC55" i="1"/>
  <c r="AE64" i="1"/>
  <c r="AG64" i="1" s="1"/>
  <c r="AC21" i="1"/>
  <c r="AE21" i="1"/>
  <c r="AG21" i="1" s="1"/>
  <c r="U14" i="1"/>
  <c r="Q14" i="1"/>
  <c r="U73" i="1"/>
  <c r="F50" i="1"/>
  <c r="AE29" i="1"/>
  <c r="AG29" i="1" s="1"/>
  <c r="AE41" i="1"/>
  <c r="AG41" i="1" s="1"/>
  <c r="W14" i="1"/>
  <c r="AE42" i="1"/>
  <c r="AG42" i="1" s="1"/>
  <c r="AE17" i="1"/>
  <c r="AG17" i="1" s="1"/>
  <c r="AC17" i="1"/>
  <c r="AE18" i="1"/>
  <c r="AG18" i="1" s="1"/>
  <c r="AE19" i="1"/>
  <c r="AG19" i="1" s="1"/>
  <c r="AC19" i="1"/>
  <c r="AA25" i="1"/>
  <c r="AC26" i="1"/>
  <c r="AC29" i="1"/>
  <c r="AC53" i="1"/>
  <c r="AH61" i="1"/>
  <c r="AH62" i="1" s="1"/>
  <c r="AK30" i="1"/>
  <c r="AE30" i="1"/>
  <c r="AG30" i="1" s="1"/>
  <c r="AE40" i="1"/>
  <c r="AG40" i="1" s="1"/>
  <c r="AC41" i="1"/>
  <c r="AE43" i="1"/>
  <c r="AG43" i="1" s="1"/>
  <c r="AE44" i="1"/>
  <c r="AG44" i="1" s="1"/>
  <c r="AC60" i="1"/>
  <c r="AC62" i="1"/>
  <c r="AE63" i="1"/>
  <c r="AG63" i="1" s="1"/>
  <c r="AC65" i="1"/>
  <c r="AE66" i="1"/>
  <c r="AG66" i="1" s="1"/>
  <c r="AA69" i="1"/>
  <c r="AE69" i="1" s="1"/>
  <c r="AC70" i="1"/>
  <c r="AC71" i="1" s="1"/>
  <c r="AC72" i="1" s="1"/>
  <c r="AG16" i="1"/>
  <c r="AH26" i="1"/>
  <c r="AH20" i="1"/>
  <c r="AH21" i="1" s="1"/>
  <c r="AH22" i="1" s="1"/>
  <c r="AG26" i="1"/>
  <c r="O37" i="1"/>
  <c r="AE38" i="1"/>
  <c r="K14" i="3"/>
  <c r="AG34" i="1"/>
  <c r="AG35" i="1" s="1"/>
  <c r="AG36" i="1" s="1"/>
  <c r="AE33" i="1"/>
  <c r="F15" i="3"/>
  <c r="AC36" i="1"/>
  <c r="F24" i="3"/>
  <c r="AA15" i="1"/>
  <c r="AE28" i="1"/>
  <c r="AG28" i="1" s="1"/>
  <c r="AK34" i="1"/>
  <c r="AK39" i="1"/>
  <c r="AK61" i="1"/>
  <c r="AC61" i="1"/>
  <c r="AA59" i="1"/>
  <c r="Q73" i="1"/>
  <c r="G12" i="3"/>
  <c r="J12" i="3" s="1"/>
  <c r="S14" i="1"/>
  <c r="Y73" i="1"/>
  <c r="AC18" i="1"/>
  <c r="AC20" i="1"/>
  <c r="AC22" i="1"/>
  <c r="AC25" i="1"/>
  <c r="AC27" i="1"/>
  <c r="AC28" i="1"/>
  <c r="AC30" i="1"/>
  <c r="AA33" i="1"/>
  <c r="K37" i="1"/>
  <c r="K14" i="1" s="1"/>
  <c r="AA37" i="1"/>
  <c r="AC38" i="1"/>
  <c r="AC49" i="1" s="1"/>
  <c r="AE39" i="1"/>
  <c r="AG39" i="1" s="1"/>
  <c r="AK43" i="1"/>
  <c r="AE53" i="1"/>
  <c r="O52" i="1"/>
  <c r="AC54" i="1"/>
  <c r="AA52" i="1"/>
  <c r="AE61" i="1"/>
  <c r="AC69" i="1"/>
  <c r="AH65" i="1" l="1"/>
  <c r="AE15" i="1"/>
  <c r="AG23" i="1"/>
  <c r="AC31" i="1"/>
  <c r="AC67" i="1"/>
  <c r="AC68" i="1" s="1"/>
  <c r="AC57" i="1"/>
  <c r="AC58" i="1" s="1"/>
  <c r="AC23" i="1"/>
  <c r="O14" i="1"/>
  <c r="F14" i="3"/>
  <c r="AC24" i="1"/>
  <c r="F21" i="3"/>
  <c r="AG61" i="1"/>
  <c r="AE59" i="1"/>
  <c r="AC52" i="1"/>
  <c r="AE52" i="1"/>
  <c r="AG53" i="1"/>
  <c r="AG57" i="1" s="1"/>
  <c r="AG58" i="1" s="1"/>
  <c r="AC37" i="1"/>
  <c r="J15" i="3"/>
  <c r="AC33" i="1"/>
  <c r="AG38" i="1"/>
  <c r="AG49" i="1" s="1"/>
  <c r="AG51" i="1" s="1"/>
  <c r="AE37" i="1"/>
  <c r="AE25" i="1"/>
  <c r="J23" i="3"/>
  <c r="K23" i="3" s="1"/>
  <c r="J24" i="3"/>
  <c r="K24" i="3" s="1"/>
  <c r="F19" i="3"/>
  <c r="AC51" i="1"/>
  <c r="AA73" i="1"/>
  <c r="AH66" i="1"/>
  <c r="AH63" i="1"/>
  <c r="J21" i="3"/>
  <c r="K21" i="3" s="1"/>
  <c r="AC59" i="1"/>
  <c r="AC15" i="1"/>
  <c r="AA14" i="1"/>
  <c r="AG31" i="1"/>
  <c r="AG32" i="1" s="1"/>
  <c r="AH28" i="1"/>
  <c r="AH27" i="1"/>
  <c r="AG24" i="1"/>
  <c r="AC74" i="1" l="1"/>
  <c r="AC75" i="1" s="1"/>
  <c r="AC32" i="1"/>
  <c r="K15" i="3"/>
  <c r="AG67" i="1"/>
  <c r="AG68" i="1" s="1"/>
  <c r="AE14" i="1"/>
  <c r="AH29" i="1"/>
  <c r="AH30" i="1"/>
  <c r="J19" i="3"/>
  <c r="F13" i="3"/>
  <c r="AG74" i="1"/>
  <c r="AG75" i="1" s="1"/>
  <c r="K19" i="3" l="1"/>
  <c r="K12" i="3"/>
  <c r="K13" i="3"/>
  <c r="T51" i="11"/>
  <c r="T14" i="11" s="1"/>
  <c r="T73" i="11" l="1"/>
  <c r="J18" i="3"/>
  <c r="V53" i="11"/>
  <c r="V74" i="11" s="1"/>
  <c r="V51" i="11"/>
  <c r="E20" i="3" s="1"/>
  <c r="E28" i="3" s="1"/>
  <c r="K18" i="3" l="1"/>
  <c r="V54" i="11"/>
  <c r="V75" i="11"/>
  <c r="J20" i="3"/>
  <c r="F28" i="3"/>
  <c r="F20" i="3"/>
  <c r="X51" i="11"/>
  <c r="K20" i="3" l="1"/>
  <c r="J28" i="3"/>
  <c r="K28" i="3" s="1"/>
  <c r="X14" i="11"/>
  <c r="Z51" i="11"/>
  <c r="Z75" i="11"/>
  <c r="Z54" i="11"/>
</calcChain>
</file>

<file path=xl/sharedStrings.xml><?xml version="1.0" encoding="utf-8"?>
<sst xmlns="http://schemas.openxmlformats.org/spreadsheetml/2006/main" count="1275" uniqueCount="538">
  <si>
    <t>Realisasi Kinerja pada Triwulan</t>
  </si>
  <si>
    <t>I</t>
  </si>
  <si>
    <t>II</t>
  </si>
  <si>
    <t>III</t>
  </si>
  <si>
    <t>IV</t>
  </si>
  <si>
    <t>K</t>
  </si>
  <si>
    <t>Rp</t>
  </si>
  <si>
    <t>Penyediaan Jasa Surat Menyurat</t>
  </si>
  <si>
    <t>Program pelayanan Administrasi Perkantoran</t>
  </si>
  <si>
    <t>Rp (APBD)</t>
  </si>
  <si>
    <t xml:space="preserve">Disusun </t>
  </si>
  <si>
    <t>Dievaluasi</t>
  </si>
  <si>
    <t>Kabupaten Magelang</t>
  </si>
  <si>
    <t>Penyediaan Jasa Komunikasi, Sumber Daya Air dan Listrik</t>
  </si>
  <si>
    <t>Penyediaan Jasa Administrasi Keuangan</t>
  </si>
  <si>
    <t>Penyediaan Jasa Kebersihan Kantor</t>
  </si>
  <si>
    <t>Penyediaan Komponen Instalasi Listrik/Penerangan Bangunan Kantor</t>
  </si>
  <si>
    <t>Rapat-rapat Koordinasi dan Konsultasi ke Luar Daerah</t>
  </si>
  <si>
    <t>Rapat-rapat Koordinasi dan Konsultasi ke Dalam Daerah</t>
  </si>
  <si>
    <t>Program Peningkatan Sarana Prasarana Aparatur</t>
  </si>
  <si>
    <t>Pemeliharaan Rutin/Berkala Kendaraan Dinas/Opersional</t>
  </si>
  <si>
    <t>Program Peningkatan Pengembangan Sistem Pelaporan Capaian Kinerja dan Keuangan</t>
  </si>
  <si>
    <t>Penyusunan Laporan Capaian Kinerja dan Ikhtisar Realisasi Kinerja SKPD</t>
  </si>
  <si>
    <t>Program Pengembangan Komunikasi, Informasi dan Media Massa</t>
  </si>
  <si>
    <t>Langganan Koneksi Jaringan Internet</t>
  </si>
  <si>
    <t>Penerbitan Majalah Suara Gemilang</t>
  </si>
  <si>
    <t>No.</t>
  </si>
  <si>
    <t>K (Renja)</t>
  </si>
  <si>
    <t>12 Bulan</t>
  </si>
  <si>
    <t>4 Gedung</t>
  </si>
  <si>
    <t>13.000 PNS</t>
  </si>
  <si>
    <t>Diskominfo</t>
  </si>
  <si>
    <t>Administrasi Keuangan Dapat Tepat Waktu</t>
  </si>
  <si>
    <t>1200 Surat</t>
  </si>
  <si>
    <t>Faktor Pendorong Keberhasilan Kinerja</t>
  </si>
  <si>
    <t>Faktor Penghambat Pencapaian Kinerja</t>
  </si>
  <si>
    <t>Tindak Lanjut yang diperlukan dalam Triwulan Berikutnya *)</t>
  </si>
  <si>
    <t>Tindak Lanjut yang diperlukan dalam RKPD Berikutnya *)</t>
  </si>
  <si>
    <t>Plt. Kepala BAPPEDA</t>
  </si>
  <si>
    <t>12=8+9+10+11</t>
  </si>
  <si>
    <t>13=12/7X100</t>
  </si>
  <si>
    <t>14=6+12</t>
  </si>
  <si>
    <t>15=14/5x100</t>
  </si>
  <si>
    <t>k</t>
  </si>
  <si>
    <t>Unit SKPD Penanggung jawab</t>
  </si>
  <si>
    <t xml:space="preserve">4 line masuk ,8 line keluar ,1 line faximile dan 2 repeater </t>
  </si>
  <si>
    <t xml:space="preserve">Koneksi internet lebih baik </t>
  </si>
  <si>
    <t>Dinas Komunikasi dan Informatika Kabupaten Magelang</t>
  </si>
  <si>
    <t>Kode</t>
  </si>
  <si>
    <t>Urusan/Bidang Urusan Pemerintahan Daerah dan Program/Kegiatan</t>
  </si>
  <si>
    <t>Target Renstra SKPD pada Tahun 2019 (Akhir Periode Renstra SKPD)</t>
  </si>
  <si>
    <t>Indikator Kinerja Program (Outcome) / Kegiatan (Output)</t>
  </si>
  <si>
    <t>1.</t>
  </si>
  <si>
    <t>Bidang Urusan Komunikasi dan Informatika</t>
  </si>
  <si>
    <t>01.</t>
  </si>
  <si>
    <t>25.</t>
  </si>
  <si>
    <t>02.</t>
  </si>
  <si>
    <t>07.</t>
  </si>
  <si>
    <t>08.</t>
  </si>
  <si>
    <t>12.</t>
  </si>
  <si>
    <t>18.</t>
  </si>
  <si>
    <t>19.</t>
  </si>
  <si>
    <t>2.</t>
  </si>
  <si>
    <t>Pemeliharaan Rutin/Berkala Gedung Kantor</t>
  </si>
  <si>
    <t>Pemeliharaan Rutin/Berkala Peralatan Gedung/Kantor</t>
  </si>
  <si>
    <t>Rehabilitasi Sedang/Berat Rumah Gedung Kantor</t>
  </si>
  <si>
    <t>09.</t>
  </si>
  <si>
    <t>22.</t>
  </si>
  <si>
    <t>24.</t>
  </si>
  <si>
    <t>28.</t>
  </si>
  <si>
    <t>42.</t>
  </si>
  <si>
    <t>3.</t>
  </si>
  <si>
    <t>06.</t>
  </si>
  <si>
    <t>4.</t>
  </si>
  <si>
    <t>15.</t>
  </si>
  <si>
    <t>Jumlah Laporan Capaian Kinerja dan Keuangan</t>
  </si>
  <si>
    <t>Jumlah Gedung Kantor yang akan dfirehab Sedang/Berat</t>
  </si>
  <si>
    <t>Jumlah Peralatan Gedung Kantor yang dipelihara</t>
  </si>
  <si>
    <t>Jumlah Kendaraan Dinas/Operasional yang dipelihara</t>
  </si>
  <si>
    <t>Jumlah Gedung Kantor yang dipelihara</t>
  </si>
  <si>
    <t>Jumlah Peralatan Gedung Kantor yang dibeli</t>
  </si>
  <si>
    <t>Jumlah Rapat Koordinasi dan Perjalanan Dinas Dalam Daerah</t>
  </si>
  <si>
    <t>Jumlah Rapat Koordinasi dan Perjalanan Dinas Luar Daerah</t>
  </si>
  <si>
    <t>Jumlah Kebutuhan Komponen Instalasi Listrik/Penerangan Bangunan Kantor</t>
  </si>
  <si>
    <t>Jumlah Kebutuhan Jasa Kebersihan Kantor</t>
  </si>
  <si>
    <t>Jumlah Dibayar Biaya Langganan Telepon, Air, Listrik &amp; Surat Kabar/Majalah</t>
  </si>
  <si>
    <t>Jumlah Surat Menyurat yang Masuk</t>
  </si>
  <si>
    <t>Jumlah Alat Perangkat/Akses Pelayanan Komunikasi</t>
  </si>
  <si>
    <t>9 Jenis Peralatan</t>
  </si>
  <si>
    <t>1 Gedung</t>
  </si>
  <si>
    <t>9 Jenis Peralatan gedung</t>
  </si>
  <si>
    <t>2 Gedung</t>
  </si>
  <si>
    <t>Pembinaan dan Pengembangan Jaringan Komunikasi dan Media</t>
  </si>
  <si>
    <t>Jumlah Waktu Pelayanan Informasi</t>
  </si>
  <si>
    <t>Pelayanan Informasi Media Sengketa Informasi Publik</t>
  </si>
  <si>
    <t>10.</t>
  </si>
  <si>
    <t xml:space="preserve">Pemeliharaan dan Perbaikan Peralatan Operasional Sarana TIK </t>
  </si>
  <si>
    <t>Jumlah Peralatan Opersional TIK yang dipelihara</t>
  </si>
  <si>
    <t>60 SKPD</t>
  </si>
  <si>
    <t>14.</t>
  </si>
  <si>
    <t>Sosialisasi Ketentuan Tentang Cukai Tembakau (DBHCHT)</t>
  </si>
  <si>
    <t>Pengadaan dan Penayangan Bahan Sosialisasi ttg Cukai Tembakau dlm bentuk Cetak, ILM, Talkshow dan Pentas Seni</t>
  </si>
  <si>
    <t>3 Paket</t>
  </si>
  <si>
    <t>16.</t>
  </si>
  <si>
    <t>Pengendalian dan Pengawasan Menara Telekomunikasi</t>
  </si>
  <si>
    <t>Jumlah Pengendalian dan Pengawasan Menara Telekomunikasi</t>
  </si>
  <si>
    <t>182 Menara</t>
  </si>
  <si>
    <t>Penyelenggaraan Lembaga Penyiaran Publik Lokal Radio Gemilang</t>
  </si>
  <si>
    <t>29.</t>
  </si>
  <si>
    <t>Peremajaan dan Komputerisasi Jaringan Telepon Setda Kabupaten Magelang</t>
  </si>
  <si>
    <t>Jumlah Jaringan Telepon Baru (VOIP) di Komplek Setda</t>
  </si>
  <si>
    <t>1 Jaringan</t>
  </si>
  <si>
    <t>Desiminasi Informasi Melalui Media Radio (SPM)</t>
  </si>
  <si>
    <t>Jumlah Jam Siaran dalam per Hari</t>
  </si>
  <si>
    <t>19 Jam per Hari</t>
  </si>
  <si>
    <t>Jumlah Peningkatan Berita Daerah Wilayah Kabupaten Magelang yang dapat digali dan terpublikasi serta terlaksananya Pelatihan bagi Pengelola Website</t>
  </si>
  <si>
    <t>Penyebarluasan Informasi yang Bersifat Penyuluhan Bagi Masyarakat</t>
  </si>
  <si>
    <t>Penyelenggaraan Sarasehan dan Wahana Komunikasi Masyarakat di Tingkat Kecamatan</t>
  </si>
  <si>
    <t>Pengembangan Media Tradisional di Kabupaten Magelang</t>
  </si>
  <si>
    <t>Pementasan Media Pertunjukan Rakyat dalam rangka Diseminasi Informasi Nasional dan Kebijakan di Kabupaten Magelang</t>
  </si>
  <si>
    <t>Penarikan Retribusi Pengendalian dan Pengawasan Menara Telekomunikasi</t>
  </si>
  <si>
    <t>Jumlah Menara dari Provider yang Retribusinya Terpungut</t>
  </si>
  <si>
    <t>182 Menara dan 11 Provider Menara</t>
  </si>
  <si>
    <t>5.</t>
  </si>
  <si>
    <t>17.</t>
  </si>
  <si>
    <t>Program Fasilitasi Peningkatan SDM Bidang Komunikasi dan Informasi</t>
  </si>
  <si>
    <t>Pelatihan SDM dalam Bidang Informasi dan Komunikasi</t>
  </si>
  <si>
    <t>Jumlah SDM yang mengikuti Pelatihan</t>
  </si>
  <si>
    <t>60 PNS</t>
  </si>
  <si>
    <t>Program Kerjasama Informasi Dengan Media Massa</t>
  </si>
  <si>
    <t>04.</t>
  </si>
  <si>
    <t>Jumlah Majalah yang dicetak dalam Satu Tahun</t>
  </si>
  <si>
    <t>18.000 Eksemplar</t>
  </si>
  <si>
    <t>Urusan Pemerintahan</t>
  </si>
  <si>
    <t>Rata-Rata Capaian Kinerja (%)</t>
  </si>
  <si>
    <t>Predikat Kinerja</t>
  </si>
  <si>
    <t>12 Personil</t>
  </si>
  <si>
    <t>27 Kali</t>
  </si>
  <si>
    <t>360 Kali</t>
  </si>
  <si>
    <t>4 Dokumen</t>
  </si>
  <si>
    <t>4 Line Masuk, 8 Line Keluar, 1 Line Faximile, 2 Repeater</t>
  </si>
  <si>
    <t>Internet Bandwidth 12 Mbps</t>
  </si>
  <si>
    <t>160 Menara Telekomunikasi</t>
  </si>
  <si>
    <t>19 Jam Per Hari</t>
  </si>
  <si>
    <t>130 Anggota</t>
  </si>
  <si>
    <t>JUMLAH ANGGARAN DAN REALISASI DARI SELURUH PROGRAM</t>
  </si>
  <si>
    <t>6.</t>
  </si>
  <si>
    <t>TOTAL RATA-RATA CAPAIAN KINERJA DAN ANGGARAN DARI SELURUH PROGRAM (PROGRAM 1 s.d. PROGRAM 6)</t>
  </si>
  <si>
    <t>PREDIKAT KINERJA DARI SELURUH PROGRAM (PROGRAM 1 s.d. PROGRAM 6)</t>
  </si>
  <si>
    <t>16 Kali Keg. WKM</t>
  </si>
  <si>
    <t>12 Kali Pentas Seni Pertunjukan Rakyat (Pentura)</t>
  </si>
  <si>
    <t>Pelayanan dan Media Sengketa Informasi Publik</t>
  </si>
  <si>
    <t>60 Mbps</t>
  </si>
  <si>
    <t>170 Menara</t>
  </si>
  <si>
    <t>2 Paket</t>
  </si>
  <si>
    <t>1 Paket</t>
  </si>
  <si>
    <t>12 Provider</t>
  </si>
  <si>
    <t>4 Paket (Cetak, ILM, TalkShow, Pentas Seni)</t>
  </si>
  <si>
    <t>KODE</t>
  </si>
  <si>
    <t>URUSAN / PROGRAM</t>
  </si>
  <si>
    <t>CAPAIAN KINERJA</t>
  </si>
  <si>
    <t>%</t>
  </si>
  <si>
    <t>PREDIKAT KINERJA</t>
  </si>
  <si>
    <t>SPJ</t>
  </si>
  <si>
    <t>8 = 7/5</t>
  </si>
  <si>
    <t>TOTAL  RATA-RATA</t>
  </si>
  <si>
    <t>Pengelolaan Media TI (SPM)</t>
  </si>
  <si>
    <t>EVALUASI CAPAIAN PELAKSANAAN PROGRAM SKPD DINAS KOMUNIKASI DAN INFORMATIKA</t>
  </si>
  <si>
    <t>URUSAN PADA SEMUA SKPD</t>
  </si>
  <si>
    <t>URUSAN KOMUNIKASI DAN INFORMATIKA</t>
  </si>
  <si>
    <t>Sisa/Lebih</t>
  </si>
  <si>
    <t>Pengurangan</t>
  </si>
  <si>
    <t>FORM B. CAPAIAN KINERJA DAN REALISASI ANGGARAN RENJA SKPD</t>
  </si>
  <si>
    <t>28 Kali</t>
  </si>
  <si>
    <t>504 Kali</t>
  </si>
  <si>
    <t>2 Mobil dan 11 Sepeda Motor</t>
  </si>
  <si>
    <t>23.</t>
  </si>
  <si>
    <t>44.</t>
  </si>
  <si>
    <t>Pengelolaan dan Pengembangan Jaringan Komunikasi dan Informasi</t>
  </si>
  <si>
    <t xml:space="preserve">Sosialisasi Internet Sehat </t>
  </si>
  <si>
    <t>4 Jenis</t>
  </si>
  <si>
    <t>03.</t>
  </si>
  <si>
    <t>11.</t>
  </si>
  <si>
    <t>13.</t>
  </si>
  <si>
    <t>Pengembangan Kelompok Informasi dan Komunikasi (KIKM)</t>
  </si>
  <si>
    <t>20.</t>
  </si>
  <si>
    <t>5 Jenis Peralatan</t>
  </si>
  <si>
    <t>Internet Bandwidth 30 Mbps</t>
  </si>
  <si>
    <t>182 Menara Telekomunikasi</t>
  </si>
  <si>
    <t>114 Menara &amp; 3 provider menara</t>
  </si>
  <si>
    <t>Pelayanan informasi &amp; Media Sengketa Informasi Publik</t>
  </si>
  <si>
    <t>1.440 berita &amp; 1 kali kegaiatn pelatihan</t>
  </si>
  <si>
    <t>21 Kegiatan</t>
  </si>
  <si>
    <t>12 Kegiatan Pentura</t>
  </si>
  <si>
    <t>3 Roda 4 dan 13 Roda dua</t>
  </si>
  <si>
    <t>216 Peserta</t>
  </si>
  <si>
    <t>2 Paket (Studi Banding dan pelatihan)</t>
  </si>
  <si>
    <t>2 Mobil dan 9 Sepeda Motor</t>
  </si>
  <si>
    <t>11 Jenis Peralatan</t>
  </si>
  <si>
    <t>Realisasi Capaian Kinerja renja SKPD Tahun 2014</t>
  </si>
  <si>
    <t xml:space="preserve">Jumlah  Kelompok Informasi Masyarakat dan Bintek yang dilaksanakan </t>
  </si>
  <si>
    <t>2 paket (Pameran KIM dan Pemberdayaan Pengelolaan Web)</t>
  </si>
  <si>
    <t>Kota Mungkid,                                  2016</t>
  </si>
  <si>
    <t>No</t>
  </si>
  <si>
    <t>Indikator Kinerja Program (Outcome)</t>
  </si>
  <si>
    <t xml:space="preserve">Target Akhir RPJMD </t>
  </si>
  <si>
    <t>Realisasi Capaian Kinerja RPJMD s/d Tahun 2015</t>
  </si>
  <si>
    <t xml:space="preserve">Target Kinerja Tahun 2016 </t>
  </si>
  <si>
    <t>Realisasi Kinerja Pada Triwulan</t>
  </si>
  <si>
    <t>Realisasi Capaian Kinerja RKPD yang Dievaluasi (2016)</t>
  </si>
  <si>
    <t>Tingkat Capaian Kinerja RKPD Tahun 2016 (%)</t>
  </si>
  <si>
    <t>Realisasi Kinerja RPJMD Tahun 2016</t>
  </si>
  <si>
    <t>Tingkat Capaian Kinerja RPJMD s/d Tahun 2016 (%)</t>
  </si>
  <si>
    <t>SKPD Penganggung Jawab</t>
  </si>
  <si>
    <t>Permasalahan</t>
  </si>
  <si>
    <t>13=12/7*100</t>
  </si>
  <si>
    <t>15=14/5*100</t>
  </si>
  <si>
    <t>25</t>
  </si>
  <si>
    <t>KOMUNIKASI DAN INFORMATIKA</t>
  </si>
  <si>
    <t>a.</t>
  </si>
  <si>
    <t>Pelaksanaan diseminasi dan pendistribusian informasi nasional melalui media massa seperti majalah, radio, dan televisi**</t>
  </si>
  <si>
    <t>19 Jam per hari</t>
  </si>
  <si>
    <t>b.</t>
  </si>
  <si>
    <t>Pelaksanaan diseminasi dan pendistribusian informasi nasional melalui media baru seperti website (media online)**</t>
  </si>
  <si>
    <t>Bandwidth 16 Mbps</t>
  </si>
  <si>
    <t>c.</t>
  </si>
  <si>
    <t>Pelaksanaan diseminasi dan pendistribusian informasi nasional melalui media tradisional seperti pertunjukan rakyat**</t>
  </si>
  <si>
    <t>5 Kali Pertunjukan Rakyat</t>
  </si>
  <si>
    <t>d.</t>
  </si>
  <si>
    <t>Pelaksanaan diseminasi dan pendistribusian informasi nasional melalui media interpersonal seperti sarasehan, ceramah/diskusi dan lokakarya**</t>
  </si>
  <si>
    <t>e.</t>
  </si>
  <si>
    <t>Pelaksanaan diseminasi dan pendistribusian informasi nasional melalui media luar ruang seperti media buletin, leaflet, booklet, brosur, spanduk dan baliho**</t>
  </si>
  <si>
    <t>12 Kegiatan</t>
  </si>
  <si>
    <t>f.</t>
  </si>
  <si>
    <t>Web site milik pemerintah daerah***</t>
  </si>
  <si>
    <t>Bag. Hukum</t>
  </si>
  <si>
    <t>Program Fasilitas Peningkatan SDM Bidang Komunikasi dan Informasi</t>
  </si>
  <si>
    <t>Persentase pegawai diskominfo yang sudah mengikuti pelatihan di bidang informasi dan komunikasi***</t>
  </si>
  <si>
    <t>Jumlah peserta yang mengikuti pelatihan bidang kominfo dan kehumasan***</t>
  </si>
  <si>
    <t>605 Peserta</t>
  </si>
  <si>
    <t>100 Peserta</t>
  </si>
  <si>
    <t>Bag. Humprot</t>
  </si>
  <si>
    <t>Program Kerjasama Informasi dengan Mas Media</t>
  </si>
  <si>
    <t>Cakupan kerjasama dengan mas media***</t>
  </si>
  <si>
    <t>Bandwidth 30 Mbps</t>
  </si>
  <si>
    <t>12 Kali Pertunjukan Rakyat</t>
  </si>
  <si>
    <t>Ket</t>
  </si>
  <si>
    <t>3 Bulan</t>
  </si>
  <si>
    <t>240 Peserta</t>
  </si>
  <si>
    <t>8</t>
  </si>
  <si>
    <t>340 Peserta</t>
  </si>
  <si>
    <t>FORMULIR A2. EVALUASI HASIL RKPD KABUPATEN MAGELANG  TAHUN 2016 (CAPAIAN INDIKATOR PROGRAM RPJMD)</t>
  </si>
  <si>
    <t>FORMULIR A1. Evaluasi Terhadap Hasil Renja SKPD</t>
  </si>
  <si>
    <t>Kota Mungkid,                           2016</t>
  </si>
  <si>
    <t>20 global, 30 domestik</t>
  </si>
  <si>
    <t>20 Mbps global, 30 Mbps domestik</t>
  </si>
  <si>
    <t>5 Kegiatan</t>
  </si>
  <si>
    <t>6 PNS</t>
  </si>
  <si>
    <t>17 Kegiatan</t>
  </si>
  <si>
    <t>17 Kali Pertunjukan Rakyat</t>
  </si>
  <si>
    <t>21 Bulan</t>
  </si>
  <si>
    <t>2 PNS</t>
  </si>
  <si>
    <t>10 PNS</t>
  </si>
  <si>
    <t>15 Kegiatan</t>
  </si>
  <si>
    <t>10 Kegiatan</t>
  </si>
  <si>
    <t>20 Orang</t>
  </si>
  <si>
    <t>Sasaran RKPD yang akan dicapai dalam Renja SKPD : Bidang Komunikasi dan Informatika</t>
  </si>
  <si>
    <t>4 paket</t>
  </si>
  <si>
    <t>1.400 berita &amp; 1 pelatihan</t>
  </si>
  <si>
    <t>12 Pentura</t>
  </si>
  <si>
    <t>Target Kinerja dan Anggaran Renja SKPD Tahun berjalan yang dievaluasi (2017)</t>
  </si>
  <si>
    <t>64 kali</t>
  </si>
  <si>
    <t>349 rakor dan kegiatan (348 kali perjalanan dan 1 kegiatan)</t>
  </si>
  <si>
    <t>1 Jenis Peralatan</t>
  </si>
  <si>
    <t>14 kendaraan</t>
  </si>
  <si>
    <t xml:space="preserve">9 Jenis </t>
  </si>
  <si>
    <t>18 dokumen</t>
  </si>
  <si>
    <t>Penyusunan Peraturan Perundangan TIK</t>
  </si>
  <si>
    <t>Pengembangan dan Pengelolaan Aplikasi Surat Menyurat Kabupaten Magelang</t>
  </si>
  <si>
    <t>Penyusunan Master Plan Izin Galian Kabel Telekomunikasi di Daerah</t>
  </si>
  <si>
    <t>Pengembangan dan Pengelolaan Absensi Sidik Jari PNS</t>
  </si>
  <si>
    <t>60 orang</t>
  </si>
  <si>
    <t>1 dokumen</t>
  </si>
  <si>
    <t>12 unit</t>
  </si>
  <si>
    <t>2 naskah</t>
  </si>
  <si>
    <t>Realisasi Capaian Kinerja Renstra SKPD s/d Renja SKPD Tahun Lalu (2016)</t>
  </si>
  <si>
    <t>Realisasi Capaian Kinerja Renja SKPD Tahun 2016</t>
  </si>
  <si>
    <t>Program Pengembangan Data Informasi / Statistik Daerah</t>
  </si>
  <si>
    <t>Penyusunan Buku Statistik</t>
  </si>
  <si>
    <t>5 jenis</t>
  </si>
  <si>
    <t>Realisasi Capaian Kinerja dan Anggaran Renja SKPD yang dievaluasi (2017)</t>
  </si>
  <si>
    <t>Peningkatan Kapasitas SDM Diskominfo Kabupaten Magelang</t>
  </si>
  <si>
    <t>12 bulan</t>
  </si>
  <si>
    <t>42 PNS</t>
  </si>
  <si>
    <t>9 Kali Kegiatan WKM</t>
  </si>
  <si>
    <t>1.440 Berita</t>
  </si>
  <si>
    <t xml:space="preserve">4 kali pertunjukan rakyat </t>
  </si>
  <si>
    <t>2 Paket Kegiatan (1 Kegiatan Studi Banding dan 1 kegiatan  pelatihan)</t>
  </si>
  <si>
    <t>19 Jam</t>
  </si>
  <si>
    <t xml:space="preserve">19 Jam </t>
  </si>
  <si>
    <t>Periode Pelaksanaan: 2017</t>
  </si>
  <si>
    <t>Pengadaan Perlengkapan Gedung/Kantor</t>
  </si>
  <si>
    <t>URUSAN STATISTIK</t>
  </si>
  <si>
    <t>6000 Surat</t>
  </si>
  <si>
    <t>1 Kantor 60 Bulan</t>
  </si>
  <si>
    <t>60 bulan</t>
  </si>
  <si>
    <t>3 Roda 4 dan 10 Roda dua</t>
  </si>
  <si>
    <t>300 surat</t>
  </si>
  <si>
    <t>3 bulan</t>
  </si>
  <si>
    <t>3900 surat</t>
  </si>
  <si>
    <t>Tingkat Capaian Kinerja dan Realisasi Anggaran Renja SKPD Tahun 2017 (%)</t>
  </si>
  <si>
    <t>Realisasi Kinerja dan Anggaran Renstra SKPD s/d Tahun 2017 (Akhir Tahun Pelaksanaan Renja SKPD Tahun 2017)</t>
  </si>
  <si>
    <t xml:space="preserve">Tingkat Capaian Kinerja dan Realisasi Anggaran Renstra SKPD s/d Tahun 2017 (%) </t>
  </si>
  <si>
    <t>39 bulan</t>
  </si>
  <si>
    <t>4 naskah</t>
  </si>
  <si>
    <t>Jumlah draft raperda yang disusun</t>
  </si>
  <si>
    <t>Aplikasi Surat Menyurat Kabupaten magelang</t>
  </si>
  <si>
    <t>1 aplikasi</t>
  </si>
  <si>
    <t>Tersusunnya draft dokumen izin galian kabel</t>
  </si>
  <si>
    <t>Aplikasi Absensi Sidik Jari PNS</t>
  </si>
  <si>
    <t>60 unit</t>
  </si>
  <si>
    <t>Jumlah peserta tersosialisasi</t>
  </si>
  <si>
    <t>45 buku</t>
  </si>
  <si>
    <t>45 Buku</t>
  </si>
  <si>
    <t>22 buku</t>
  </si>
  <si>
    <t>Realisasi Kinerja dan Anggaran Renja SKPD Tahun berjalan yang dievaluasi (2017)</t>
  </si>
  <si>
    <t>Evaluasi Terhadap Hasil Renja SKPD
Triwulan I Tahun 2017</t>
  </si>
  <si>
    <t>Program Pelayanan Administrasi Perkantoran</t>
  </si>
  <si>
    <t>Program Peningkatan Sarana dan Prasarana Kantor</t>
  </si>
  <si>
    <t>Kegiatan Penyusunan Laporan Capaian Kinerja dan Ikhtisar Realisasi Kinerja SKPD</t>
  </si>
  <si>
    <t>Program Perencanaan Pembangunan Daerah</t>
  </si>
  <si>
    <t>Kegiatan Penyusunan Renstra / Renja SKPD</t>
  </si>
  <si>
    <t>Pendistribusian informasi nasional melalui media luar ruang (SPM)</t>
  </si>
  <si>
    <t>Sosialisasi Ketentuan di Bidang Cukai Hasil Tembakau (DBHCHT)</t>
  </si>
  <si>
    <t>Pencetakan  Buku Kompilasi  Undang-Undang tentang  Keterbukaan Informasi dan Pembuatan Komitmen Pelayanan Informasi</t>
  </si>
  <si>
    <t>Seleksi Dewan Pengawas dan Dewan Direksi LPPL Radio Gemilang</t>
  </si>
  <si>
    <t>Pembinaan dan pengembangan jaringan komunikasi dan informasi</t>
  </si>
  <si>
    <t>Pengadaan Buku Daftar Pejabat di Lingkungan Kab. Magelang</t>
  </si>
  <si>
    <t>Peremajaan dan Komputerisasi Jaringan Telepon Setda Kab.Magelang</t>
  </si>
  <si>
    <t>Pengendalian dan Pengawasan Jasa Titipan atau Pos</t>
  </si>
  <si>
    <t xml:space="preserve">Penyusunan Cell Plan dan Cell Audit Menara Telekomunikasi </t>
  </si>
  <si>
    <t>Penyusunan dan Pengembangan Sistem Informasi Pos dan Telekomunikasi</t>
  </si>
  <si>
    <t>Pengendalian Izin Galian Kabel Di Daerah</t>
  </si>
  <si>
    <t>Fasilitasi Peraturan Perundangan TIK</t>
  </si>
  <si>
    <t>Pemeliharaan dan Perbaikan Peralatan Operasional Sarana TIK</t>
  </si>
  <si>
    <t>Pengembangan Infrastruktur Jaringan Internet SKPD</t>
  </si>
  <si>
    <t>Pencetakan KTPP</t>
  </si>
  <si>
    <t>Pengembangan dan Pengelolaan Aplikasi Surat Menyurat  Kabupaten Magelang</t>
  </si>
  <si>
    <t>Pencetakan Daftar Gaji PNS dengan Sistem Komputerisasi</t>
  </si>
  <si>
    <t>Pengembangan Sistem Informasi Gaji PNS</t>
  </si>
  <si>
    <t xml:space="preserve">Pengembangan Aplikasi e-Government </t>
  </si>
  <si>
    <t>Pengembangan dan Pengelolaan SIM SIPPD</t>
  </si>
  <si>
    <t>Pengadaan Peralatan Teleconference</t>
  </si>
  <si>
    <t>Pengadaan dan Pemeliharaan Peralatan Peningkatan Keamanan Lingkup SETDA dan Rumah Dinas Bupati (CCTV)</t>
  </si>
  <si>
    <t>Program Kerjasama Informasi dan Media Masa</t>
  </si>
  <si>
    <t>Penyebarluasan Informasi yang bersifat penyuluhan bagi masyarakat (SPM)</t>
  </si>
  <si>
    <t>Pengembangan media tradisional di Kabupaten Magelang (SPM)</t>
  </si>
  <si>
    <t>Desiminasi Informasi Melalui Media Cetak Majalah  Suara Gemilang</t>
  </si>
  <si>
    <t>Desiminasi Informasi Melalui Media Radio</t>
  </si>
  <si>
    <t>Pengembangan Kelompok Informasi Masyarakat (KIM)</t>
  </si>
  <si>
    <t>Pengelolaan Media TI</t>
  </si>
  <si>
    <t>Pengembangan dan Pengelolaan Aplikasi SMS Center Kabupaten Magelang</t>
  </si>
  <si>
    <t>Profil Potensi Kabupaten Magelang</t>
  </si>
  <si>
    <t>Program Pengkajian dan Penelitian Bidang Komunikasi dan Informasi</t>
  </si>
  <si>
    <t>Pengkajian Pelaksanaan Pengembangan Infrastruktur  Jaringan Internet</t>
  </si>
  <si>
    <t>Sosialisasi Internet Sehat</t>
  </si>
  <si>
    <t xml:space="preserve">Pelatihan SDM Dalam Bidang Penyiaran Informasi </t>
  </si>
  <si>
    <t xml:space="preserve">Peningkatan Kapasitas SDM Diskominfo kabupaten Magelang </t>
  </si>
  <si>
    <t>Sosialisasi Paguyuban Warnet Kabupaten Magelang</t>
  </si>
  <si>
    <t>Program dan Kegiatan Tahun 2016 pada Renstra Diskominfo Tahun 2014-2019</t>
  </si>
  <si>
    <t>Program dan Kegiatan pada Renja Diskominfo Tahun 2017</t>
  </si>
  <si>
    <t>Penyediaan jasa surat menyurat</t>
  </si>
  <si>
    <t>Penyediaan jasa komunikasi, sumber daya air dan listrik</t>
  </si>
  <si>
    <t>Penyediaan jasa administrasi keuangan</t>
  </si>
  <si>
    <t>Penyediaan jasa kebersihan kantor</t>
  </si>
  <si>
    <t>Penyediaan komponen instalasi listrik/penerangan bangunan kantor</t>
  </si>
  <si>
    <t>Rapat-rapat koordinasi dan konsultasi ke luar daerah</t>
  </si>
  <si>
    <t>Rapat-rapat koordinasi dan konsultasi dalam daerah</t>
  </si>
  <si>
    <t>Penyediaan Jasa Komunikasi, Sumberdaya Air dan Listrik</t>
  </si>
  <si>
    <t>Penyediaan Komponen Instalasi Listrik/ Penerangan bangunan Kantor</t>
  </si>
  <si>
    <t>Rapat-rapat  Koordinasi dan Konsultasi ke Luar Daerah</t>
  </si>
  <si>
    <t>Rapat-rapat Koordinasi dan Konsultasi Dalam Daerah</t>
  </si>
  <si>
    <t>Pengadaan Perlengkapan Gedung Kantor</t>
  </si>
  <si>
    <t>Pengadaan Peralatan Gedung Kantor</t>
  </si>
  <si>
    <t>Pemeliharaan Rutin/Berkala Kendaraan Dinas/Operasional</t>
  </si>
  <si>
    <t>Rehabilitasi sedang/ berat gedung kantor</t>
  </si>
  <si>
    <t>Pengadaan perlengkapan gedung kantor</t>
  </si>
  <si>
    <t>Pemeliharaan rutin/berkala gedung kantor</t>
  </si>
  <si>
    <t>Pemeliharaan rutin/berkala kendaraan dinas/operasional</t>
  </si>
  <si>
    <t>Pemeliharaan rutin/berkala peralatan gedung kantor</t>
  </si>
  <si>
    <t>Rehabilitasi Sedang / Berat Gedung Kantor</t>
  </si>
  <si>
    <t>Penyusunan laporan capaian kinerja dan ikhtisar realisasi kinerja SKPD</t>
  </si>
  <si>
    <t>Sosialisasi Ketentuan Tentang Cukai Tembakau ( DBHCHT )</t>
  </si>
  <si>
    <t>Pelatihan SDM Dalam Bidang Informasi dan Komunikasi</t>
  </si>
  <si>
    <t>Penyebarluasan Informasi Yang Bersifat Penyuluhan Bagi Masyarakat</t>
  </si>
  <si>
    <t>Penyelenggaraan Lembaga Penyiaran Publik Lokal Gemilang</t>
  </si>
  <si>
    <t>Deseminasi Informasi Melalui Media Radio (SPM)</t>
  </si>
  <si>
    <t>Program dan Kegiatan pada DPA Diskominfo Tahun 2017</t>
  </si>
  <si>
    <t>Program dan Kegiatan pada Renstra dan Renja</t>
  </si>
  <si>
    <t>Sosialisasi Ketentuan Tentang Cukai Tembakau
( DBHCHT )</t>
  </si>
  <si>
    <t>Jumlah buku statistik umum, dasar dan sektoral skala kabupaten</t>
  </si>
  <si>
    <t xml:space="preserve">3 Jenis </t>
  </si>
  <si>
    <t>2 kali</t>
  </si>
  <si>
    <t>2 paket</t>
  </si>
  <si>
    <t>Secara umum, capaian kinerja sampai dengan triwulan I rata-rata sebesar 26,91 persen atau masih dalam predikat sangat rendah. Hal ini dikarenakan kegiatan belum dilaksanakan secara efektif. Untuk melihat perkembangan capaian kinerja masing-masing kegiatan dapat dilihat pada tabel berikut:</t>
  </si>
  <si>
    <t>Kepala BAPPEDA Dan Litbangda</t>
  </si>
  <si>
    <t>4 jenis alat perangkat/ akses</t>
  </si>
  <si>
    <t>1. Program dan kegiatan yang berkelanjutan. 2. Kesesuaian rencana dan realisasi pelaksanaan kegiatan.</t>
  </si>
  <si>
    <t>1. Kebutuhan anggaran kegiatan tertentu masih kurang guna mencapai target sesuai kondisi riil. 2. Ketidaksesuaian target renstra dan realiasi kebutuhan kegiatan/riil saat ini</t>
  </si>
  <si>
    <t>1. Penambahan anggaran kegiatan pada kegiatan tertentu. 2. Perlunya mereviuw target dalam renstra</t>
  </si>
  <si>
    <t xml:space="preserve">1. Perlu penambahan program juga kegiatan yang belum ada dalam Renstra maupun Perubahan Resntra, khususnya terkait layanan e-Goverment dan Smartcity </t>
  </si>
  <si>
    <t>Drs. SUGIYONO, M.SI.</t>
  </si>
  <si>
    <t>Pengadaan Peralatan gedung kantor</t>
  </si>
  <si>
    <t>12 Provider Menara</t>
  </si>
  <si>
    <t xml:space="preserve">Kota Mungkid,                                  </t>
  </si>
  <si>
    <t>NIP. 19640102 198405 1 004</t>
  </si>
  <si>
    <t>4 gedung</t>
  </si>
  <si>
    <t>27 buku</t>
  </si>
  <si>
    <t>Jumlah Menara dan Provider yang Retribusinya Terpungut</t>
  </si>
  <si>
    <t>Indikator dan target kinerja SKPD Kab/Kota yang mengacu pada sasaran RKPD:</t>
  </si>
  <si>
    <t>Sasaran</t>
  </si>
  <si>
    <t>Program/Kegiatan</t>
  </si>
  <si>
    <t>Meningkatnya Kinerja Penyelenggaraan Tata Pemerintahan yang Baik dan Bersih</t>
  </si>
  <si>
    <t>Meningkatnya Kualitas Pelayanan Publik Sesuai dengan Standar Mutu Pelayanan yang berorientasi pada terciptanya Kepuasan Masyarakat</t>
  </si>
  <si>
    <t>46 kali</t>
  </si>
  <si>
    <t xml:space="preserve">348 rakor dan 1 kegiatan </t>
  </si>
  <si>
    <t>Jumlah Peralatan Operasional TIK yang dipelihara</t>
  </si>
  <si>
    <t>Jumlah Infrastruktur Jaringan Internet SKPD yang dihasilkan</t>
  </si>
  <si>
    <t>82 Unit</t>
  </si>
  <si>
    <t>Pendistribusian Informasi dan Kebijakan melalui pemasangan baliho, spanduk, dan spot ILM (Iklan Layanan Masyarakat)</t>
  </si>
  <si>
    <t>5 kegiatan</t>
  </si>
  <si>
    <t>7.</t>
  </si>
  <si>
    <t>Penyusunan Renstra SKPD</t>
  </si>
  <si>
    <t>Dokumen Renstra Diskominfo</t>
  </si>
  <si>
    <t>15 kali</t>
  </si>
  <si>
    <t>8.</t>
  </si>
  <si>
    <t>13=12/7X100%</t>
  </si>
  <si>
    <t>15=14/5x100%</t>
  </si>
  <si>
    <t>TOTAL RATA-RATA CAPAIAN KINERJA DAN ANGGARAN DARI SELURUH PROGRAM (PROGRAM 1 s.d. PROGRAM 8)</t>
  </si>
  <si>
    <t>PREDIKAT KINERJA DARI SELURUH PROGRAM (PROGRAM 1 s.d. PROGRAM 8)</t>
  </si>
  <si>
    <t>URUSAN PERENCANAAN</t>
  </si>
  <si>
    <t>21.</t>
  </si>
  <si>
    <t>1. Meningkatnya Kinerja Penyelenggaraan Tata Pemerintahan yang Baik dan Bersih</t>
  </si>
  <si>
    <t>2. Meningkatnya Kualitas Pelayanan Publik Sesuai dengan Standar Mutu Pelayanan yang berorientasi pada terciptanya Kepuasan Masyarakat</t>
  </si>
  <si>
    <t>FORMULIR A. Evaluasi Terhadap Hasil Renja PD</t>
  </si>
  <si>
    <t>Renja PD Dinas Komunikasi dan Informatika Kabupaten Magelang</t>
  </si>
  <si>
    <t>Tahun 2019</t>
  </si>
  <si>
    <t>Realisasi Capaian Kinerja Renstra SKPD s/d Renja SKPD Tahun Lalu (2018)</t>
  </si>
  <si>
    <t>Target Renstra PD pada Tahun 2019 (Akhir Periode Renstra SKPD)</t>
  </si>
  <si>
    <t>Target Kinerja dan Anggaran Renja PD Tahun berjalan yang dievaluasi (2019)</t>
  </si>
  <si>
    <t>Realisasi Capaian Kinerja dan Anggaran Renja PD yang dievaluasi (2019)</t>
  </si>
  <si>
    <t>Tingkat Capaian Kinerja dan Realisasi Anggaran Renja PD Tahun 2019 (%)</t>
  </si>
  <si>
    <t>Realisasi Kinerja dan Anggaran Renstra PD s/d Tahun 2019 (Akhir Tahun Pelaksanaan Renja PD Tahun 2019)</t>
  </si>
  <si>
    <t xml:space="preserve">Tingkat Capaian Kinerja dan Realisasi Anggaran Renstra PD s/d Tahun 2019 (%) </t>
  </si>
  <si>
    <t xml:space="preserve">Pengkajian dan Pengembangan Sistem Informasi </t>
  </si>
  <si>
    <t xml:space="preserve">Peremajaan dan Komputerisasi Jaringan Telepon Setda Kabupaten Magelang </t>
  </si>
  <si>
    <t xml:space="preserve">Pengelolaan dan Pengembangan Persandian </t>
  </si>
  <si>
    <t xml:space="preserve">Penyebarluasan Informasi Yang Bersifat Penyuluhan Bagi Masyarakat </t>
  </si>
  <si>
    <t>3699 surat</t>
  </si>
  <si>
    <t>1 kantor 36 Bulan</t>
  </si>
  <si>
    <t>36 Bulan</t>
  </si>
  <si>
    <t>155 Kali</t>
  </si>
  <si>
    <t>1.388 Kali</t>
  </si>
  <si>
    <t>35 jenis</t>
  </si>
  <si>
    <t>3 Mobil dan 12 Sepeda Motor</t>
  </si>
  <si>
    <t xml:space="preserve">32 Jenis </t>
  </si>
  <si>
    <t>36 dokumen</t>
  </si>
  <si>
    <t>Internet Bandwidth 250 Mbps</t>
  </si>
  <si>
    <t>1 paket</t>
  </si>
  <si>
    <t>182 Menara dan 12 Provider Menara</t>
  </si>
  <si>
    <t>94 unit</t>
  </si>
  <si>
    <t>85.500 eksemplar</t>
  </si>
  <si>
    <t>4.436 berita</t>
  </si>
  <si>
    <t>20 kali pentura</t>
  </si>
  <si>
    <t>1500 Surat</t>
  </si>
  <si>
    <t xml:space="preserve">11 Jenis </t>
  </si>
  <si>
    <t>20 jenis peralatan</t>
  </si>
  <si>
    <t>4 Roda 4 dan 12 Roda dua</t>
  </si>
  <si>
    <t>4 aplikasi</t>
  </si>
  <si>
    <t>220 Menara</t>
  </si>
  <si>
    <t>Pendistribusian Informasi Nasional melalui Media Luar Ruang</t>
  </si>
  <si>
    <t>15 jenis  perangkat / akses</t>
  </si>
  <si>
    <t>28 unit</t>
  </si>
  <si>
    <t>4 paket kegiatan</t>
  </si>
  <si>
    <t>864 PNS</t>
  </si>
  <si>
    <t>250 PNS</t>
  </si>
  <si>
    <t>33 kegiatan</t>
  </si>
  <si>
    <t>7 Kali WKM</t>
  </si>
  <si>
    <t>14400 kunjungan</t>
  </si>
  <si>
    <t xml:space="preserve">8 pertunjukan rakyat </t>
  </si>
  <si>
    <t xml:space="preserve">Pengembangan Kelompok Informasi dan Komunikasi (KIKM) </t>
  </si>
  <si>
    <t>25 KIKM</t>
  </si>
  <si>
    <t>6 kegiatan</t>
  </si>
  <si>
    <t>9 jenis</t>
  </si>
  <si>
    <t>6 dokumen</t>
  </si>
  <si>
    <t>90 kali</t>
  </si>
  <si>
    <t>16 kendaraan</t>
  </si>
  <si>
    <t>1 jaringan</t>
  </si>
  <si>
    <t xml:space="preserve">5 paket (Leaflet, Booklet, Baliho, Spanduk, X-Banner) </t>
  </si>
  <si>
    <t>220 Menara Telekomunikasi</t>
  </si>
  <si>
    <t>25 Lokasi</t>
  </si>
  <si>
    <t>Pembina Utama Muda</t>
  </si>
  <si>
    <t>TAHUN 2019</t>
  </si>
  <si>
    <t>ANGGARAN TAHUN 2019</t>
  </si>
  <si>
    <t>400 surat</t>
  </si>
  <si>
    <t>1 Kali WKM</t>
  </si>
  <si>
    <t>700 surat</t>
  </si>
  <si>
    <t>6 bulan</t>
  </si>
  <si>
    <t>30 kali</t>
  </si>
  <si>
    <t>180 kali</t>
  </si>
  <si>
    <t xml:space="preserve">6 Jenis </t>
  </si>
  <si>
    <t>10 dokumen</t>
  </si>
  <si>
    <t>4 dokumen</t>
  </si>
  <si>
    <t>2 aplikasi</t>
  </si>
  <si>
    <t>2 jenis alat perangkat/ akses</t>
  </si>
  <si>
    <t>6 jenis alat perangkat/ akses</t>
  </si>
  <si>
    <t>4 kali</t>
  </si>
  <si>
    <t>4399 surat</t>
  </si>
  <si>
    <t>1 kantor 42 Bulan</t>
  </si>
  <si>
    <t>42 Bulan</t>
  </si>
  <si>
    <t>185 Kali</t>
  </si>
  <si>
    <t>1.568 Kali</t>
  </si>
  <si>
    <t xml:space="preserve">38 Jenis </t>
  </si>
  <si>
    <t>46 dokumen</t>
  </si>
  <si>
    <t>10 jenis alat perangkat/ akses</t>
  </si>
  <si>
    <t>122 unit</t>
  </si>
  <si>
    <t>7 kegiatan</t>
  </si>
  <si>
    <t>Internet Bandwidth 320 Mbps + 350 Mbps</t>
  </si>
  <si>
    <t>Internet Bandwidth 320 Mbps</t>
  </si>
  <si>
    <t>34 kegiatan</t>
  </si>
  <si>
    <t>89.500 eksemplar</t>
  </si>
  <si>
    <t>4.436 berita + 7.200 kunjungan</t>
  </si>
  <si>
    <t>24 kali pentura</t>
  </si>
  <si>
    <t>29 paket kegiatan</t>
  </si>
  <si>
    <t>Kota Mungkid,                     Juni 2019</t>
  </si>
  <si>
    <t>TARGET ANGGARAN s/d TRIWULAN II TAHUN 2019</t>
  </si>
  <si>
    <t>REALISASI ANGGARAN s/d TRIWULAN II TAHUN 2019</t>
  </si>
  <si>
    <t>Kota Mungkid,       Juni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</si>
</sst>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??,???,???"/>
    <numFmt numFmtId="167" formatCode="?,???,???"/>
    <numFmt numFmtId="168" formatCode="_(* #,##0_);_(* \(#,##0\);_(* &quot;-&quot;??_);_(@_)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8"/>
      <name val="Arial Narrow"/>
      <family val="2"/>
    </font>
    <font>
      <sz val="10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0"/>
      <name val="Bookman Old Style"/>
      <family val="1"/>
    </font>
    <font>
      <sz val="10"/>
      <name val="Bookman Old Style"/>
      <family val="1"/>
    </font>
    <font>
      <sz val="10"/>
      <color theme="0"/>
      <name val="Bookman Old Style"/>
      <family val="1"/>
    </font>
    <font>
      <sz val="9"/>
      <color theme="1"/>
      <name val="Bookman Old Style"/>
      <family val="1"/>
    </font>
    <font>
      <sz val="8"/>
      <color rgb="FFFF0000"/>
      <name val="Arial Narrow"/>
      <family val="2"/>
    </font>
    <font>
      <b/>
      <sz val="8"/>
      <color rgb="FFFF0000"/>
      <name val="Arial Narrow"/>
      <family val="2"/>
    </font>
    <font>
      <sz val="8"/>
      <color rgb="FF000000"/>
      <name val="Arial Narrow"/>
      <family val="2"/>
    </font>
    <font>
      <sz val="8"/>
      <color theme="1"/>
      <name val="Arial Narrow"/>
      <family val="2"/>
    </font>
    <font>
      <sz val="10"/>
      <color theme="1"/>
      <name val="Tahoma"/>
      <family val="2"/>
    </font>
    <font>
      <sz val="11"/>
      <name val="Bookman Old Style"/>
      <family val="1"/>
    </font>
    <font>
      <sz val="11"/>
      <color indexed="8"/>
      <name val="Calibri"/>
      <family val="2"/>
      <charset val="1"/>
    </font>
    <font>
      <sz val="9"/>
      <name val="Bookman Old Style"/>
      <family val="1"/>
    </font>
    <font>
      <sz val="8"/>
      <color theme="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4"/>
      <color theme="1"/>
      <name val="Calibri"/>
      <family val="2"/>
      <scheme val="minor"/>
    </font>
    <font>
      <sz val="14"/>
      <color theme="1"/>
      <name val="Bookman Old Style"/>
      <family val="1"/>
    </font>
    <font>
      <sz val="10"/>
      <color rgb="FFFF0000"/>
      <name val="Bookman Old Style"/>
      <family val="1"/>
    </font>
    <font>
      <b/>
      <sz val="10"/>
      <color rgb="FFFF0000"/>
      <name val="Bookman Old Style"/>
      <family val="1"/>
    </font>
    <font>
      <b/>
      <sz val="10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 Narrow"/>
      <family val="2"/>
    </font>
    <font>
      <b/>
      <u/>
      <sz val="10"/>
      <name val="Arial Narrow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4">
    <xf numFmtId="0" fontId="0" fillId="0" borderId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46" fillId="0" borderId="0">
      <alignment vertical="top"/>
    </xf>
    <xf numFmtId="0" fontId="46" fillId="0" borderId="0">
      <alignment vertical="top"/>
    </xf>
    <xf numFmtId="41" fontId="46" fillId="0" borderId="0" applyFont="0" applyFill="0" applyBorder="0" applyAlignment="0" applyProtection="0"/>
  </cellStyleXfs>
  <cellXfs count="859">
    <xf numFmtId="0" fontId="0" fillId="0" borderId="0" xfId="0"/>
    <xf numFmtId="0" fontId="8" fillId="0" borderId="0" xfId="0" applyFont="1"/>
    <xf numFmtId="0" fontId="8" fillId="0" borderId="0" xfId="0" applyFont="1" applyAlignment="1">
      <alignment wrapText="1"/>
    </xf>
    <xf numFmtId="0" fontId="8" fillId="0" borderId="2" xfId="4" applyFont="1" applyBorder="1" applyAlignment="1">
      <alignment vertical="top" wrapText="1"/>
    </xf>
    <xf numFmtId="0" fontId="9" fillId="0" borderId="2" xfId="3" applyFont="1" applyBorder="1" applyAlignment="1">
      <alignment horizontal="left" vertical="top" wrapText="1"/>
    </xf>
    <xf numFmtId="0" fontId="8" fillId="0" borderId="2" xfId="4" applyFont="1" applyBorder="1" applyAlignment="1">
      <alignment horizontal="left" vertical="top" wrapText="1"/>
    </xf>
    <xf numFmtId="0" fontId="8" fillId="0" borderId="2" xfId="3" applyFont="1" applyBorder="1" applyAlignment="1">
      <alignment horizontal="left" vertical="top" wrapText="1"/>
    </xf>
    <xf numFmtId="0" fontId="8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3" xfId="4" applyFont="1" applyBorder="1" applyAlignment="1">
      <alignment horizontal="left" vertical="top" wrapText="1"/>
    </xf>
    <xf numFmtId="0" fontId="8" fillId="0" borderId="4" xfId="0" applyFont="1" applyBorder="1" applyAlignment="1">
      <alignment vertical="top"/>
    </xf>
    <xf numFmtId="0" fontId="9" fillId="0" borderId="4" xfId="3" applyFont="1" applyBorder="1" applyAlignment="1">
      <alignment horizontal="left" vertical="top" wrapText="1"/>
    </xf>
    <xf numFmtId="0" fontId="8" fillId="0" borderId="4" xfId="0" quotePrefix="1" applyFont="1" applyBorder="1" applyAlignment="1">
      <alignment vertical="top"/>
    </xf>
    <xf numFmtId="0" fontId="8" fillId="0" borderId="4" xfId="5" applyFont="1" applyFill="1" applyBorder="1" applyAlignment="1">
      <alignment vertical="top" wrapText="1"/>
    </xf>
    <xf numFmtId="0" fontId="8" fillId="0" borderId="2" xfId="5" applyFont="1" applyFill="1" applyBorder="1" applyAlignment="1">
      <alignment vertical="top" wrapText="1"/>
    </xf>
    <xf numFmtId="0" fontId="8" fillId="0" borderId="5" xfId="0" applyFont="1" applyBorder="1" applyAlignment="1">
      <alignment vertical="top"/>
    </xf>
    <xf numFmtId="0" fontId="8" fillId="0" borderId="3" xfId="3" applyFont="1" applyFill="1" applyBorder="1" applyAlignment="1">
      <alignment horizontal="left" vertical="top" wrapText="1"/>
    </xf>
    <xf numFmtId="0" fontId="9" fillId="0" borderId="5" xfId="3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vertical="top"/>
    </xf>
    <xf numFmtId="0" fontId="8" fillId="0" borderId="2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7" xfId="3" applyFont="1" applyBorder="1" applyAlignment="1">
      <alignment vertical="top" wrapText="1"/>
    </xf>
    <xf numFmtId="0" fontId="8" fillId="0" borderId="16" xfId="0" applyFont="1" applyBorder="1" applyAlignment="1">
      <alignment horizontal="center" vertical="center" wrapText="1"/>
    </xf>
    <xf numFmtId="0" fontId="9" fillId="0" borderId="8" xfId="3" applyFont="1" applyBorder="1" applyAlignment="1">
      <alignment vertical="top" wrapText="1"/>
    </xf>
    <xf numFmtId="0" fontId="9" fillId="0" borderId="7" xfId="3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right" vertical="top"/>
    </xf>
    <xf numFmtId="0" fontId="9" fillId="0" borderId="4" xfId="4" applyFont="1" applyBorder="1" applyAlignment="1">
      <alignment vertical="top" wrapText="1"/>
    </xf>
    <xf numFmtId="0" fontId="9" fillId="0" borderId="2" xfId="4" applyFont="1" applyBorder="1" applyAlignment="1">
      <alignment vertical="top" wrapText="1"/>
    </xf>
    <xf numFmtId="0" fontId="9" fillId="0" borderId="2" xfId="0" quotePrefix="1" applyFont="1" applyBorder="1" applyAlignment="1">
      <alignment horizontal="right" vertical="top"/>
    </xf>
    <xf numFmtId="0" fontId="9" fillId="0" borderId="2" xfId="0" quotePrefix="1" applyFont="1" applyBorder="1" applyAlignment="1">
      <alignment horizontal="center" vertical="top"/>
    </xf>
    <xf numFmtId="0" fontId="8" fillId="0" borderId="3" xfId="0" quotePrefix="1" applyFont="1" applyBorder="1" applyAlignment="1">
      <alignment vertical="top"/>
    </xf>
    <xf numFmtId="0" fontId="8" fillId="0" borderId="3" xfId="0" quotePrefix="1" applyFont="1" applyBorder="1" applyAlignment="1">
      <alignment horizontal="center" vertical="top"/>
    </xf>
    <xf numFmtId="0" fontId="9" fillId="0" borderId="5" xfId="4" applyFont="1" applyBorder="1" applyAlignment="1">
      <alignment vertical="top" wrapText="1"/>
    </xf>
    <xf numFmtId="0" fontId="9" fillId="0" borderId="4" xfId="0" quotePrefix="1" applyFont="1" applyBorder="1" applyAlignment="1">
      <alignment horizontal="right" vertical="top"/>
    </xf>
    <xf numFmtId="0" fontId="9" fillId="0" borderId="4" xfId="0" quotePrefix="1" applyFont="1" applyBorder="1" applyAlignment="1">
      <alignment horizontal="center" vertical="top"/>
    </xf>
    <xf numFmtId="0" fontId="9" fillId="0" borderId="9" xfId="3" applyFont="1" applyBorder="1" applyAlignment="1">
      <alignment vertical="top" wrapText="1"/>
    </xf>
    <xf numFmtId="0" fontId="8" fillId="0" borderId="3" xfId="0" quotePrefix="1" applyFont="1" applyBorder="1" applyAlignment="1">
      <alignment horizontal="right" vertical="top"/>
    </xf>
    <xf numFmtId="0" fontId="9" fillId="0" borderId="3" xfId="4" applyFont="1" applyBorder="1" applyAlignment="1">
      <alignment vertical="top" wrapText="1"/>
    </xf>
    <xf numFmtId="0" fontId="8" fillId="0" borderId="23" xfId="0" applyFont="1" applyBorder="1" applyAlignment="1">
      <alignment vertical="top"/>
    </xf>
    <xf numFmtId="0" fontId="8" fillId="0" borderId="23" xfId="0" applyFont="1" applyFill="1" applyBorder="1" applyAlignment="1">
      <alignment vertical="top"/>
    </xf>
    <xf numFmtId="0" fontId="9" fillId="0" borderId="5" xfId="0" quotePrefix="1" applyFont="1" applyBorder="1" applyAlignment="1">
      <alignment horizontal="right" vertical="top"/>
    </xf>
    <xf numFmtId="0" fontId="9" fillId="0" borderId="5" xfId="0" quotePrefix="1" applyFont="1" applyBorder="1" applyAlignment="1">
      <alignment horizontal="center" vertical="top"/>
    </xf>
    <xf numFmtId="0" fontId="9" fillId="0" borderId="5" xfId="3" applyFont="1" applyBorder="1" applyAlignment="1">
      <alignment horizontal="left" vertical="top" wrapText="1"/>
    </xf>
    <xf numFmtId="0" fontId="9" fillId="0" borderId="4" xfId="0" quotePrefix="1" applyFont="1" applyBorder="1" applyAlignment="1">
      <alignment vertical="top"/>
    </xf>
    <xf numFmtId="0" fontId="8" fillId="0" borderId="18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164" fontId="8" fillId="0" borderId="2" xfId="2" applyFont="1" applyBorder="1" applyAlignment="1">
      <alignment vertical="top" wrapText="1"/>
    </xf>
    <xf numFmtId="164" fontId="8" fillId="0" borderId="2" xfId="2" applyFont="1" applyFill="1" applyBorder="1" applyAlignment="1">
      <alignment vertical="top"/>
    </xf>
    <xf numFmtId="164" fontId="8" fillId="0" borderId="23" xfId="2" applyFont="1" applyFill="1" applyBorder="1" applyAlignment="1">
      <alignment vertical="top"/>
    </xf>
    <xf numFmtId="164" fontId="8" fillId="0" borderId="3" xfId="2" applyFont="1" applyFill="1" applyBorder="1" applyAlignment="1">
      <alignment vertical="top"/>
    </xf>
    <xf numFmtId="0" fontId="8" fillId="3" borderId="1" xfId="0" applyFont="1" applyFill="1" applyBorder="1" applyAlignment="1">
      <alignment vertical="center"/>
    </xf>
    <xf numFmtId="168" fontId="9" fillId="3" borderId="1" xfId="11" applyNumberFormat="1" applyFont="1" applyFill="1" applyBorder="1" applyAlignment="1">
      <alignment horizontal="center" vertical="top"/>
    </xf>
    <xf numFmtId="168" fontId="9" fillId="3" borderId="6" xfId="11" applyNumberFormat="1" applyFont="1" applyFill="1" applyBorder="1" applyAlignment="1">
      <alignment horizontal="center" vertical="top"/>
    </xf>
    <xf numFmtId="165" fontId="8" fillId="2" borderId="4" xfId="11" applyNumberFormat="1" applyFont="1" applyFill="1" applyBorder="1" applyAlignment="1">
      <alignment horizontal="center" vertical="top"/>
    </xf>
    <xf numFmtId="164" fontId="8" fillId="0" borderId="23" xfId="2" applyFont="1" applyBorder="1" applyAlignment="1">
      <alignment vertical="top" wrapText="1"/>
    </xf>
    <xf numFmtId="164" fontId="8" fillId="0" borderId="7" xfId="2" applyFont="1" applyBorder="1" applyAlignment="1">
      <alignment vertical="top" wrapText="1"/>
    </xf>
    <xf numFmtId="168" fontId="8" fillId="0" borderId="0" xfId="1" applyNumberFormat="1" applyFont="1"/>
    <xf numFmtId="0" fontId="8" fillId="0" borderId="0" xfId="0" applyFont="1" applyFill="1"/>
    <xf numFmtId="168" fontId="8" fillId="0" borderId="0" xfId="1" applyNumberFormat="1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2" borderId="4" xfId="0" applyFont="1" applyFill="1" applyBorder="1" applyAlignment="1">
      <alignment vertical="top"/>
    </xf>
    <xf numFmtId="168" fontId="9" fillId="0" borderId="4" xfId="0" applyNumberFormat="1" applyFont="1" applyBorder="1" applyAlignment="1">
      <alignment vertical="center"/>
    </xf>
    <xf numFmtId="168" fontId="9" fillId="2" borderId="4" xfId="0" applyNumberFormat="1" applyFont="1" applyFill="1" applyBorder="1" applyAlignment="1">
      <alignment vertical="center"/>
    </xf>
    <xf numFmtId="0" fontId="8" fillId="0" borderId="4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2" borderId="3" xfId="0" applyFont="1" applyFill="1" applyBorder="1" applyAlignment="1">
      <alignment horizontal="center" vertical="top"/>
    </xf>
    <xf numFmtId="0" fontId="8" fillId="0" borderId="3" xfId="0" applyFont="1" applyBorder="1" applyAlignment="1">
      <alignment vertical="top" wrapText="1"/>
    </xf>
    <xf numFmtId="0" fontId="8" fillId="2" borderId="5" xfId="0" applyFont="1" applyFill="1" applyBorder="1" applyAlignment="1">
      <alignment vertical="top"/>
    </xf>
    <xf numFmtId="164" fontId="9" fillId="0" borderId="5" xfId="2" applyFont="1" applyFill="1" applyBorder="1" applyAlignment="1">
      <alignment horizontal="right" vertical="center"/>
    </xf>
    <xf numFmtId="167" fontId="9" fillId="0" borderId="4" xfId="6" applyNumberFormat="1" applyFont="1" applyFill="1" applyBorder="1" applyAlignment="1">
      <alignment horizontal="right" vertical="center"/>
    </xf>
    <xf numFmtId="168" fontId="9" fillId="0" borderId="5" xfId="0" applyNumberFormat="1" applyFont="1" applyBorder="1" applyAlignment="1">
      <alignment vertical="center"/>
    </xf>
    <xf numFmtId="168" fontId="9" fillId="2" borderId="5" xfId="1" applyNumberFormat="1" applyFont="1" applyFill="1" applyBorder="1" applyAlignment="1">
      <alignment vertical="center"/>
    </xf>
    <xf numFmtId="165" fontId="9" fillId="0" borderId="5" xfId="1" applyNumberFormat="1" applyFont="1" applyFill="1" applyBorder="1" applyAlignment="1">
      <alignment vertical="center"/>
    </xf>
    <xf numFmtId="0" fontId="8" fillId="0" borderId="5" xfId="0" applyFont="1" applyBorder="1" applyAlignment="1">
      <alignment vertical="top" wrapText="1"/>
    </xf>
    <xf numFmtId="164" fontId="8" fillId="2" borderId="3" xfId="2" applyFont="1" applyFill="1" applyBorder="1" applyAlignment="1">
      <alignment vertical="top"/>
    </xf>
    <xf numFmtId="0" fontId="8" fillId="2" borderId="3" xfId="0" applyFont="1" applyFill="1" applyBorder="1" applyAlignment="1">
      <alignment horizontal="left" vertical="top"/>
    </xf>
    <xf numFmtId="168" fontId="8" fillId="0" borderId="3" xfId="0" applyNumberFormat="1" applyFont="1" applyBorder="1" applyAlignment="1">
      <alignment vertical="top"/>
    </xf>
    <xf numFmtId="168" fontId="8" fillId="2" borderId="3" xfId="0" applyNumberFormat="1" applyFont="1" applyFill="1" applyBorder="1" applyAlignment="1">
      <alignment vertical="top"/>
    </xf>
    <xf numFmtId="9" fontId="8" fillId="2" borderId="2" xfId="11" applyFont="1" applyFill="1" applyBorder="1" applyAlignment="1">
      <alignment horizontal="center" vertical="top"/>
    </xf>
    <xf numFmtId="168" fontId="9" fillId="0" borderId="1" xfId="0" applyNumberFormat="1" applyFont="1" applyBorder="1" applyAlignment="1">
      <alignment vertical="top"/>
    </xf>
    <xf numFmtId="165" fontId="9" fillId="2" borderId="1" xfId="0" applyNumberFormat="1" applyFont="1" applyFill="1" applyBorder="1" applyAlignment="1">
      <alignment vertical="top"/>
    </xf>
    <xf numFmtId="168" fontId="9" fillId="3" borderId="1" xfId="0" applyNumberFormat="1" applyFont="1" applyFill="1" applyBorder="1" applyAlignment="1">
      <alignment vertical="top"/>
    </xf>
    <xf numFmtId="9" fontId="9" fillId="2" borderId="1" xfId="11" applyFont="1" applyFill="1" applyBorder="1" applyAlignment="1">
      <alignment horizontal="center" vertical="top"/>
    </xf>
    <xf numFmtId="0" fontId="9" fillId="3" borderId="1" xfId="0" applyFont="1" applyFill="1" applyBorder="1" applyAlignment="1">
      <alignment vertical="top" wrapText="1"/>
    </xf>
    <xf numFmtId="0" fontId="9" fillId="2" borderId="1" xfId="0" applyNumberFormat="1" applyFont="1" applyFill="1" applyBorder="1" applyAlignment="1">
      <alignment horizontal="center" vertical="top" wrapText="1"/>
    </xf>
    <xf numFmtId="168" fontId="9" fillId="3" borderId="19" xfId="0" applyNumberFormat="1" applyFont="1" applyFill="1" applyBorder="1" applyAlignment="1">
      <alignment vertical="top"/>
    </xf>
    <xf numFmtId="0" fontId="8" fillId="0" borderId="0" xfId="0" quotePrefix="1" applyFont="1" applyAlignment="1">
      <alignment vertical="top"/>
    </xf>
    <xf numFmtId="0" fontId="8" fillId="2" borderId="4" xfId="0" applyFont="1" applyFill="1" applyBorder="1" applyAlignment="1">
      <alignment horizontal="center" vertical="top"/>
    </xf>
    <xf numFmtId="0" fontId="8" fillId="0" borderId="2" xfId="0" quotePrefix="1" applyFont="1" applyBorder="1" applyAlignment="1">
      <alignment vertical="top"/>
    </xf>
    <xf numFmtId="0" fontId="8" fillId="0" borderId="2" xfId="0" quotePrefix="1" applyFont="1" applyBorder="1" applyAlignment="1">
      <alignment horizontal="center" vertical="top"/>
    </xf>
    <xf numFmtId="0" fontId="8" fillId="0" borderId="2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/>
    </xf>
    <xf numFmtId="168" fontId="8" fillId="2" borderId="2" xfId="1" applyNumberFormat="1" applyFont="1" applyFill="1" applyBorder="1" applyAlignment="1">
      <alignment vertical="top"/>
    </xf>
    <xf numFmtId="168" fontId="8" fillId="0" borderId="2" xfId="1" applyNumberFormat="1" applyFont="1" applyFill="1" applyBorder="1" applyAlignment="1">
      <alignment vertical="top"/>
    </xf>
    <xf numFmtId="168" fontId="8" fillId="0" borderId="2" xfId="0" applyNumberFormat="1" applyFont="1" applyBorder="1" applyAlignment="1">
      <alignment vertical="top"/>
    </xf>
    <xf numFmtId="164" fontId="8" fillId="0" borderId="2" xfId="2" applyFont="1" applyBorder="1" applyAlignment="1">
      <alignment vertical="top"/>
    </xf>
    <xf numFmtId="165" fontId="8" fillId="2" borderId="2" xfId="0" applyNumberFormat="1" applyFont="1" applyFill="1" applyBorder="1" applyAlignment="1">
      <alignment vertical="top"/>
    </xf>
    <xf numFmtId="168" fontId="8" fillId="2" borderId="2" xfId="0" applyNumberFormat="1" applyFont="1" applyFill="1" applyBorder="1" applyAlignment="1">
      <alignment vertical="top"/>
    </xf>
    <xf numFmtId="168" fontId="8" fillId="2" borderId="2" xfId="11" applyNumberFormat="1" applyFont="1" applyFill="1" applyBorder="1" applyAlignment="1">
      <alignment horizontal="center" vertical="top"/>
    </xf>
    <xf numFmtId="165" fontId="8" fillId="2" borderId="2" xfId="11" applyNumberFormat="1" applyFont="1" applyFill="1" applyBorder="1" applyAlignment="1">
      <alignment horizontal="center" vertical="top"/>
    </xf>
    <xf numFmtId="0" fontId="8" fillId="0" borderId="2" xfId="0" applyFont="1" applyBorder="1" applyAlignment="1">
      <alignment vertical="top" wrapText="1"/>
    </xf>
    <xf numFmtId="168" fontId="8" fillId="2" borderId="3" xfId="1" applyNumberFormat="1" applyFont="1" applyFill="1" applyBorder="1" applyAlignment="1">
      <alignment vertical="top"/>
    </xf>
    <xf numFmtId="168" fontId="8" fillId="0" borderId="3" xfId="1" applyNumberFormat="1" applyFont="1" applyFill="1" applyBorder="1" applyAlignment="1">
      <alignment vertical="top"/>
    </xf>
    <xf numFmtId="9" fontId="8" fillId="2" borderId="3" xfId="11" applyFont="1" applyFill="1" applyBorder="1" applyAlignment="1">
      <alignment horizontal="center" vertical="top"/>
    </xf>
    <xf numFmtId="168" fontId="9" fillId="0" borderId="6" xfId="0" applyNumberFormat="1" applyFont="1" applyBorder="1" applyAlignment="1">
      <alignment vertical="top"/>
    </xf>
    <xf numFmtId="9" fontId="9" fillId="2" borderId="6" xfId="11" applyFont="1" applyFill="1" applyBorder="1" applyAlignment="1">
      <alignment horizontal="center" vertical="top"/>
    </xf>
    <xf numFmtId="0" fontId="9" fillId="3" borderId="6" xfId="0" applyFont="1" applyFill="1" applyBorder="1" applyAlignment="1">
      <alignment vertical="top" wrapText="1"/>
    </xf>
    <xf numFmtId="166" fontId="9" fillId="0" borderId="5" xfId="6" applyNumberFormat="1" applyFont="1" applyFill="1" applyBorder="1" applyAlignment="1">
      <alignment horizontal="right" vertical="center"/>
    </xf>
    <xf numFmtId="0" fontId="8" fillId="0" borderId="2" xfId="5" applyFont="1" applyFill="1" applyBorder="1" applyAlignment="1">
      <alignment horizontal="left" vertical="top" wrapText="1"/>
    </xf>
    <xf numFmtId="167" fontId="8" fillId="0" borderId="2" xfId="6" applyNumberFormat="1" applyFont="1" applyFill="1" applyBorder="1" applyAlignment="1">
      <alignment horizontal="right" vertical="top"/>
    </xf>
    <xf numFmtId="164" fontId="8" fillId="2" borderId="2" xfId="2" applyFont="1" applyFill="1" applyBorder="1" applyAlignment="1">
      <alignment vertical="top"/>
    </xf>
    <xf numFmtId="166" fontId="8" fillId="0" borderId="2" xfId="6" applyNumberFormat="1" applyFont="1" applyFill="1" applyBorder="1" applyAlignment="1">
      <alignment horizontal="right" vertical="top"/>
    </xf>
    <xf numFmtId="0" fontId="8" fillId="2" borderId="2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vertical="top"/>
    </xf>
    <xf numFmtId="0" fontId="8" fillId="0" borderId="11" xfId="0" quotePrefix="1" applyFont="1" applyBorder="1" applyAlignment="1">
      <alignment horizontal="center" vertical="top"/>
    </xf>
    <xf numFmtId="0" fontId="8" fillId="0" borderId="11" xfId="3" applyFont="1" applyFill="1" applyBorder="1" applyAlignment="1">
      <alignment horizontal="left" vertical="top" wrapText="1"/>
    </xf>
    <xf numFmtId="0" fontId="8" fillId="0" borderId="11" xfId="4" applyFont="1" applyBorder="1" applyAlignment="1">
      <alignment horizontal="left" vertical="top" wrapText="1"/>
    </xf>
    <xf numFmtId="0" fontId="8" fillId="0" borderId="11" xfId="5" applyFont="1" applyFill="1" applyBorder="1" applyAlignment="1">
      <alignment horizontal="left" vertical="top" wrapText="1"/>
    </xf>
    <xf numFmtId="167" fontId="8" fillId="0" borderId="11" xfId="6" applyNumberFormat="1" applyFont="1" applyFill="1" applyBorder="1" applyAlignment="1">
      <alignment horizontal="right" vertical="top"/>
    </xf>
    <xf numFmtId="164" fontId="8" fillId="2" borderId="11" xfId="2" applyFont="1" applyFill="1" applyBorder="1" applyAlignment="1">
      <alignment vertical="top"/>
    </xf>
    <xf numFmtId="0" fontId="8" fillId="0" borderId="11" xfId="0" applyFont="1" applyBorder="1" applyAlignment="1">
      <alignment vertical="top" wrapText="1"/>
    </xf>
    <xf numFmtId="0" fontId="8" fillId="0" borderId="11" xfId="0" applyFont="1" applyFill="1" applyBorder="1" applyAlignment="1">
      <alignment vertical="top"/>
    </xf>
    <xf numFmtId="164" fontId="8" fillId="0" borderId="11" xfId="2" applyFont="1" applyFill="1" applyBorder="1" applyAlignment="1">
      <alignment vertical="top"/>
    </xf>
    <xf numFmtId="168" fontId="8" fillId="0" borderId="6" xfId="0" applyNumberFormat="1" applyFont="1" applyBorder="1" applyAlignment="1">
      <alignment vertical="top"/>
    </xf>
    <xf numFmtId="168" fontId="8" fillId="2" borderId="6" xfId="0" applyNumberFormat="1" applyFont="1" applyFill="1" applyBorder="1" applyAlignment="1">
      <alignment vertical="top"/>
    </xf>
    <xf numFmtId="9" fontId="8" fillId="2" borderId="6" xfId="11" applyFont="1" applyFill="1" applyBorder="1" applyAlignment="1">
      <alignment horizontal="center" vertical="top"/>
    </xf>
    <xf numFmtId="0" fontId="8" fillId="2" borderId="2" xfId="0" applyFont="1" applyFill="1" applyBorder="1" applyAlignment="1">
      <alignment vertical="top"/>
    </xf>
    <xf numFmtId="164" fontId="9" fillId="0" borderId="2" xfId="2" applyFont="1" applyFill="1" applyBorder="1" applyAlignment="1">
      <alignment horizontal="right" vertical="center"/>
    </xf>
    <xf numFmtId="164" fontId="8" fillId="0" borderId="2" xfId="2" applyFont="1" applyFill="1" applyBorder="1" applyAlignment="1">
      <alignment horizontal="right" vertical="top"/>
    </xf>
    <xf numFmtId="0" fontId="8" fillId="0" borderId="6" xfId="0" applyFont="1" applyBorder="1" applyAlignment="1">
      <alignment vertical="top"/>
    </xf>
    <xf numFmtId="0" fontId="8" fillId="0" borderId="6" xfId="0" quotePrefix="1" applyFont="1" applyBorder="1" applyAlignment="1">
      <alignment horizontal="right" vertical="top"/>
    </xf>
    <xf numFmtId="0" fontId="8" fillId="0" borderId="6" xfId="4" applyFont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164" fontId="8" fillId="2" borderId="23" xfId="2" applyFont="1" applyFill="1" applyBorder="1" applyAlignment="1">
      <alignment vertical="top"/>
    </xf>
    <xf numFmtId="164" fontId="8" fillId="0" borderId="2" xfId="12" applyFont="1" applyFill="1" applyBorder="1" applyAlignment="1">
      <alignment vertical="top"/>
    </xf>
    <xf numFmtId="164" fontId="8" fillId="2" borderId="4" xfId="2" applyFont="1" applyFill="1" applyBorder="1" applyAlignment="1">
      <alignment vertical="top"/>
    </xf>
    <xf numFmtId="164" fontId="9" fillId="0" borderId="4" xfId="2" applyFont="1" applyFill="1" applyBorder="1" applyAlignment="1">
      <alignment horizontal="right" vertical="center"/>
    </xf>
    <xf numFmtId="168" fontId="8" fillId="0" borderId="4" xfId="0" applyNumberFormat="1" applyFont="1" applyBorder="1" applyAlignment="1">
      <alignment vertical="top"/>
    </xf>
    <xf numFmtId="168" fontId="8" fillId="2" borderId="4" xfId="0" applyNumberFormat="1" applyFont="1" applyFill="1" applyBorder="1" applyAlignment="1">
      <alignment vertical="top"/>
    </xf>
    <xf numFmtId="9" fontId="8" fillId="2" borderId="4" xfId="11" applyFont="1" applyFill="1" applyBorder="1" applyAlignment="1">
      <alignment horizontal="center" vertical="top"/>
    </xf>
    <xf numFmtId="168" fontId="8" fillId="0" borderId="23" xfId="0" applyNumberFormat="1" applyFont="1" applyBorder="1" applyAlignment="1">
      <alignment vertical="top"/>
    </xf>
    <xf numFmtId="168" fontId="8" fillId="2" borderId="23" xfId="0" applyNumberFormat="1" applyFont="1" applyFill="1" applyBorder="1" applyAlignment="1">
      <alignment vertical="top"/>
    </xf>
    <xf numFmtId="9" fontId="8" fillId="2" borderId="23" xfId="11" applyFont="1" applyFill="1" applyBorder="1" applyAlignment="1">
      <alignment horizontal="center" vertical="top"/>
    </xf>
    <xf numFmtId="0" fontId="8" fillId="0" borderId="23" xfId="0" applyFont="1" applyBorder="1" applyAlignment="1">
      <alignment vertical="top" wrapText="1"/>
    </xf>
    <xf numFmtId="168" fontId="8" fillId="0" borderId="5" xfId="0" applyNumberFormat="1" applyFont="1" applyBorder="1" applyAlignment="1">
      <alignment vertical="top"/>
    </xf>
    <xf numFmtId="168" fontId="8" fillId="2" borderId="5" xfId="0" applyNumberFormat="1" applyFont="1" applyFill="1" applyBorder="1" applyAlignment="1">
      <alignment vertical="top"/>
    </xf>
    <xf numFmtId="9" fontId="8" fillId="2" borderId="5" xfId="11" applyFont="1" applyFill="1" applyBorder="1" applyAlignment="1">
      <alignment horizontal="center" vertical="top"/>
    </xf>
    <xf numFmtId="164" fontId="9" fillId="0" borderId="19" xfId="5" applyNumberFormat="1" applyFont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165" fontId="8" fillId="0" borderId="1" xfId="0" applyNumberFormat="1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20" xfId="0" applyFont="1" applyBorder="1" applyAlignment="1"/>
    <xf numFmtId="168" fontId="8" fillId="0" borderId="0" xfId="0" applyNumberFormat="1" applyFont="1"/>
    <xf numFmtId="0" fontId="9" fillId="2" borderId="1" xfId="0" quotePrefix="1" applyNumberFormat="1" applyFont="1" applyFill="1" applyBorder="1" applyAlignment="1">
      <alignment horizontal="center" vertical="top" wrapText="1"/>
    </xf>
    <xf numFmtId="0" fontId="13" fillId="0" borderId="0" xfId="13" applyFont="1"/>
    <xf numFmtId="0" fontId="13" fillId="0" borderId="0" xfId="13" applyFont="1" applyAlignment="1">
      <alignment horizontal="center" vertical="center"/>
    </xf>
    <xf numFmtId="0" fontId="14" fillId="0" borderId="1" xfId="13" applyFont="1" applyBorder="1" applyAlignment="1">
      <alignment horizontal="center" vertical="center"/>
    </xf>
    <xf numFmtId="0" fontId="14" fillId="0" borderId="1" xfId="13" applyFont="1" applyBorder="1" applyAlignment="1">
      <alignment horizontal="center" vertical="center" wrapText="1"/>
    </xf>
    <xf numFmtId="0" fontId="13" fillId="0" borderId="1" xfId="13" applyFont="1" applyBorder="1" applyAlignment="1">
      <alignment horizontal="center" vertical="top"/>
    </xf>
    <xf numFmtId="0" fontId="13" fillId="0" borderId="2" xfId="13" applyFont="1" applyBorder="1"/>
    <xf numFmtId="0" fontId="14" fillId="0" borderId="2" xfId="13" applyFont="1" applyBorder="1"/>
    <xf numFmtId="3" fontId="14" fillId="0" borderId="2" xfId="13" applyNumberFormat="1" applyFont="1" applyBorder="1"/>
    <xf numFmtId="10" fontId="15" fillId="0" borderId="2" xfId="13" applyNumberFormat="1" applyFont="1" applyFill="1" applyBorder="1"/>
    <xf numFmtId="0" fontId="13" fillId="0" borderId="2" xfId="13" quotePrefix="1" applyFont="1" applyBorder="1"/>
    <xf numFmtId="165" fontId="13" fillId="0" borderId="2" xfId="13" applyNumberFormat="1" applyFont="1" applyBorder="1"/>
    <xf numFmtId="3" fontId="13" fillId="0" borderId="2" xfId="13" applyNumberFormat="1" applyFont="1" applyBorder="1"/>
    <xf numFmtId="10" fontId="16" fillId="0" borderId="2" xfId="13" applyNumberFormat="1" applyFont="1" applyFill="1" applyBorder="1"/>
    <xf numFmtId="165" fontId="8" fillId="0" borderId="0" xfId="0" applyNumberFormat="1" applyFont="1" applyAlignment="1">
      <alignment vertical="top"/>
    </xf>
    <xf numFmtId="165" fontId="9" fillId="2" borderId="1" xfId="0" applyNumberFormat="1" applyFont="1" applyFill="1" applyBorder="1" applyAlignment="1">
      <alignment vertical="center"/>
    </xf>
    <xf numFmtId="165" fontId="15" fillId="0" borderId="1" xfId="1" applyFont="1" applyBorder="1" applyAlignment="1">
      <alignment vertical="center"/>
    </xf>
    <xf numFmtId="0" fontId="15" fillId="0" borderId="1" xfId="13" quotePrefix="1" applyFont="1" applyBorder="1" applyAlignment="1">
      <alignment vertical="center"/>
    </xf>
    <xf numFmtId="0" fontId="15" fillId="0" borderId="1" xfId="13" applyFont="1" applyBorder="1" applyAlignment="1">
      <alignment vertical="center"/>
    </xf>
    <xf numFmtId="3" fontId="15" fillId="0" borderId="1" xfId="13" applyNumberFormat="1" applyFont="1" applyBorder="1" applyAlignment="1">
      <alignment vertical="center"/>
    </xf>
    <xf numFmtId="0" fontId="16" fillId="0" borderId="0" xfId="13" applyFont="1" applyAlignment="1">
      <alignment vertical="center"/>
    </xf>
    <xf numFmtId="165" fontId="8" fillId="2" borderId="4" xfId="1" applyNumberFormat="1" applyFont="1" applyFill="1" applyBorder="1" applyAlignment="1">
      <alignment horizontal="center" vertical="top"/>
    </xf>
    <xf numFmtId="168" fontId="8" fillId="0" borderId="0" xfId="0" applyNumberFormat="1" applyFont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8" fontId="8" fillId="0" borderId="1" xfId="1" applyNumberFormat="1" applyFont="1" applyBorder="1" applyAlignment="1">
      <alignment horizontal="center" vertical="center"/>
    </xf>
    <xf numFmtId="168" fontId="8" fillId="0" borderId="1" xfId="1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165" fontId="16" fillId="0" borderId="2" xfId="1" applyFont="1" applyFill="1" applyBorder="1"/>
    <xf numFmtId="165" fontId="15" fillId="0" borderId="2" xfId="1" applyFont="1" applyFill="1" applyBorder="1"/>
    <xf numFmtId="0" fontId="18" fillId="0" borderId="0" xfId="13" applyFont="1"/>
    <xf numFmtId="164" fontId="8" fillId="0" borderId="4" xfId="2" applyFont="1" applyFill="1" applyBorder="1" applyAlignment="1">
      <alignment vertical="top"/>
    </xf>
    <xf numFmtId="0" fontId="9" fillId="0" borderId="18" xfId="0" applyFont="1" applyBorder="1" applyAlignment="1">
      <alignment horizontal="right" vertical="top"/>
    </xf>
    <xf numFmtId="0" fontId="9" fillId="0" borderId="20" xfId="0" applyFont="1" applyBorder="1" applyAlignment="1">
      <alignment horizontal="right" vertical="top"/>
    </xf>
    <xf numFmtId="0" fontId="9" fillId="0" borderId="19" xfId="0" applyFont="1" applyBorder="1" applyAlignment="1">
      <alignment horizontal="right" vertical="top"/>
    </xf>
    <xf numFmtId="0" fontId="8" fillId="0" borderId="4" xfId="4" applyFont="1" applyBorder="1" applyAlignment="1">
      <alignment vertical="top" wrapText="1"/>
    </xf>
    <xf numFmtId="0" fontId="8" fillId="0" borderId="4" xfId="3" applyFont="1" applyBorder="1" applyAlignment="1">
      <alignment horizontal="left" vertical="top" wrapText="1"/>
    </xf>
    <xf numFmtId="0" fontId="8" fillId="0" borderId="9" xfId="3" applyFont="1" applyBorder="1" applyAlignment="1">
      <alignment vertical="top" wrapText="1"/>
    </xf>
    <xf numFmtId="164" fontId="8" fillId="0" borderId="4" xfId="2" applyFont="1" applyFill="1" applyBorder="1" applyAlignment="1">
      <alignment horizontal="right" vertical="top"/>
    </xf>
    <xf numFmtId="164" fontId="8" fillId="2" borderId="2" xfId="2" applyFont="1" applyFill="1" applyBorder="1" applyAlignment="1">
      <alignment vertical="top" wrapText="1"/>
    </xf>
    <xf numFmtId="0" fontId="8" fillId="2" borderId="23" xfId="0" applyFont="1" applyFill="1" applyBorder="1" applyAlignment="1">
      <alignment vertical="top"/>
    </xf>
    <xf numFmtId="0" fontId="8" fillId="0" borderId="2" xfId="0" applyFont="1" applyFill="1" applyBorder="1" applyAlignment="1">
      <alignment horizontal="left" vertical="top"/>
    </xf>
    <xf numFmtId="0" fontId="19" fillId="0" borderId="0" xfId="0" applyFont="1" applyAlignment="1">
      <alignment vertical="top" wrapText="1"/>
    </xf>
    <xf numFmtId="0" fontId="20" fillId="0" borderId="5" xfId="3" applyFont="1" applyBorder="1" applyAlignment="1">
      <alignment vertical="top" wrapText="1"/>
    </xf>
    <xf numFmtId="164" fontId="20" fillId="0" borderId="5" xfId="2" applyFont="1" applyFill="1" applyBorder="1" applyAlignment="1">
      <alignment horizontal="right" vertical="center"/>
    </xf>
    <xf numFmtId="164" fontId="19" fillId="0" borderId="4" xfId="2" applyFont="1" applyBorder="1" applyAlignment="1">
      <alignment vertical="top" wrapText="1"/>
    </xf>
    <xf numFmtId="164" fontId="19" fillId="0" borderId="2" xfId="12" applyFont="1" applyFill="1" applyBorder="1" applyAlignment="1">
      <alignment vertical="top"/>
    </xf>
    <xf numFmtId="0" fontId="19" fillId="0" borderId="0" xfId="0" applyFont="1" applyAlignment="1">
      <alignment horizontal="center" vertical="top" wrapText="1"/>
    </xf>
    <xf numFmtId="168" fontId="19" fillId="0" borderId="0" xfId="0" applyNumberFormat="1" applyFont="1" applyAlignment="1">
      <alignment vertical="top" wrapText="1"/>
    </xf>
    <xf numFmtId="166" fontId="20" fillId="0" borderId="4" xfId="6" applyNumberFormat="1" applyFont="1" applyFill="1" applyBorder="1" applyAlignment="1">
      <alignment horizontal="right" vertical="center"/>
    </xf>
    <xf numFmtId="164" fontId="9" fillId="0" borderId="20" xfId="0" applyNumberFormat="1" applyFont="1" applyBorder="1" applyAlignment="1">
      <alignment horizontal="right" vertical="top"/>
    </xf>
    <xf numFmtId="0" fontId="9" fillId="2" borderId="4" xfId="0" quotePrefix="1" applyFont="1" applyFill="1" applyBorder="1" applyAlignment="1">
      <alignment horizontal="right" vertical="top"/>
    </xf>
    <xf numFmtId="0" fontId="9" fillId="2" borderId="4" xfId="0" quotePrefix="1" applyFont="1" applyFill="1" applyBorder="1" applyAlignment="1">
      <alignment horizontal="center" vertical="top"/>
    </xf>
    <xf numFmtId="0" fontId="8" fillId="2" borderId="2" xfId="0" quotePrefix="1" applyFont="1" applyFill="1" applyBorder="1" applyAlignment="1">
      <alignment horizontal="right" vertical="top"/>
    </xf>
    <xf numFmtId="0" fontId="8" fillId="2" borderId="4" xfId="4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Alignment="1">
      <alignment vertical="top"/>
    </xf>
    <xf numFmtId="0" fontId="8" fillId="0" borderId="2" xfId="8" applyFont="1" applyFill="1" applyBorder="1" applyAlignment="1">
      <alignment horizontal="left" vertical="top" wrapText="1"/>
    </xf>
    <xf numFmtId="0" fontId="8" fillId="2" borderId="9" xfId="3" applyFont="1" applyFill="1" applyBorder="1" applyAlignment="1">
      <alignment vertical="top" wrapText="1"/>
    </xf>
    <xf numFmtId="164" fontId="8" fillId="2" borderId="4" xfId="2" applyFont="1" applyFill="1" applyBorder="1" applyAlignment="1">
      <alignment horizontal="right" vertical="top"/>
    </xf>
    <xf numFmtId="0" fontId="22" fillId="2" borderId="2" xfId="8" applyFont="1" applyFill="1" applyBorder="1" applyAlignment="1">
      <alignment horizontal="left" vertical="top" wrapText="1"/>
    </xf>
    <xf numFmtId="164" fontId="8" fillId="0" borderId="4" xfId="2" applyFont="1" applyBorder="1" applyAlignment="1">
      <alignment horizontal="right" vertical="top" wrapText="1"/>
    </xf>
    <xf numFmtId="164" fontId="8" fillId="0" borderId="2" xfId="2" applyFont="1" applyBorder="1" applyAlignment="1">
      <alignment horizontal="right" vertical="top" wrapText="1"/>
    </xf>
    <xf numFmtId="164" fontId="8" fillId="0" borderId="6" xfId="2" applyFont="1" applyBorder="1" applyAlignment="1">
      <alignment horizontal="right" vertical="top" wrapText="1"/>
    </xf>
    <xf numFmtId="164" fontId="8" fillId="2" borderId="2" xfId="2" applyFont="1" applyFill="1" applyBorder="1" applyAlignment="1">
      <alignment horizontal="right" vertical="top"/>
    </xf>
    <xf numFmtId="168" fontId="9" fillId="0" borderId="4" xfId="1" applyNumberFormat="1" applyFont="1" applyFill="1" applyBorder="1" applyAlignment="1">
      <alignment horizontal="right" vertical="top"/>
    </xf>
    <xf numFmtId="168" fontId="9" fillId="0" borderId="4" xfId="0" applyNumberFormat="1" applyFont="1" applyBorder="1" applyAlignment="1">
      <alignment vertical="top"/>
    </xf>
    <xf numFmtId="168" fontId="9" fillId="2" borderId="4" xfId="0" applyNumberFormat="1" applyFont="1" applyFill="1" applyBorder="1" applyAlignment="1">
      <alignment vertical="top"/>
    </xf>
    <xf numFmtId="0" fontId="9" fillId="0" borderId="3" xfId="3" applyFont="1" applyBorder="1" applyAlignment="1">
      <alignment horizontal="left" vertical="top" wrapText="1"/>
    </xf>
    <xf numFmtId="168" fontId="9" fillId="0" borderId="3" xfId="1" applyNumberFormat="1" applyFont="1" applyFill="1" applyBorder="1" applyAlignment="1">
      <alignment vertical="top"/>
    </xf>
    <xf numFmtId="164" fontId="9" fillId="0" borderId="3" xfId="2" applyFont="1" applyFill="1" applyBorder="1" applyAlignment="1">
      <alignment vertical="top"/>
    </xf>
    <xf numFmtId="168" fontId="9" fillId="0" borderId="3" xfId="0" applyNumberFormat="1" applyFont="1" applyBorder="1" applyAlignment="1">
      <alignment vertical="top"/>
    </xf>
    <xf numFmtId="168" fontId="20" fillId="0" borderId="3" xfId="1" applyNumberFormat="1" applyFont="1" applyFill="1" applyBorder="1" applyAlignment="1">
      <alignment vertical="top"/>
    </xf>
    <xf numFmtId="168" fontId="9" fillId="2" borderId="3" xfId="0" applyNumberFormat="1" applyFont="1" applyFill="1" applyBorder="1" applyAlignment="1">
      <alignment horizontal="center" vertical="top"/>
    </xf>
    <xf numFmtId="168" fontId="9" fillId="0" borderId="4" xfId="1" applyNumberFormat="1" applyFont="1" applyFill="1" applyBorder="1" applyAlignment="1">
      <alignment vertical="top"/>
    </xf>
    <xf numFmtId="165" fontId="9" fillId="0" borderId="4" xfId="1" applyNumberFormat="1" applyFont="1" applyFill="1" applyBorder="1" applyAlignment="1">
      <alignment vertical="top"/>
    </xf>
    <xf numFmtId="168" fontId="9" fillId="2" borderId="4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168" fontId="8" fillId="0" borderId="4" xfId="1" applyNumberFormat="1" applyFont="1" applyFill="1" applyBorder="1" applyAlignment="1">
      <alignment vertical="top"/>
    </xf>
    <xf numFmtId="166" fontId="9" fillId="0" borderId="5" xfId="6" applyNumberFormat="1" applyFont="1" applyFill="1" applyBorder="1" applyAlignment="1">
      <alignment horizontal="right" vertical="top"/>
    </xf>
    <xf numFmtId="164" fontId="9" fillId="0" borderId="5" xfId="2" applyFont="1" applyFill="1" applyBorder="1" applyAlignment="1">
      <alignment horizontal="right" vertical="top"/>
    </xf>
    <xf numFmtId="168" fontId="9" fillId="0" borderId="5" xfId="0" applyNumberFormat="1" applyFont="1" applyBorder="1" applyAlignment="1">
      <alignment vertical="top"/>
    </xf>
    <xf numFmtId="0" fontId="9" fillId="2" borderId="5" xfId="0" applyFont="1" applyFill="1" applyBorder="1" applyAlignment="1">
      <alignment vertical="top"/>
    </xf>
    <xf numFmtId="165" fontId="9" fillId="0" borderId="5" xfId="1" applyNumberFormat="1" applyFont="1" applyFill="1" applyBorder="1" applyAlignment="1">
      <alignment vertical="top"/>
    </xf>
    <xf numFmtId="0" fontId="2" fillId="0" borderId="0" xfId="27"/>
    <xf numFmtId="0" fontId="23" fillId="0" borderId="0" xfId="27" applyFont="1"/>
    <xf numFmtId="0" fontId="23" fillId="0" borderId="1" xfId="27" applyFont="1" applyBorder="1" applyAlignment="1">
      <alignment horizontal="center" vertical="center" wrapText="1"/>
    </xf>
    <xf numFmtId="0" fontId="23" fillId="0" borderId="0" xfId="27" applyFont="1" applyAlignment="1">
      <alignment horizontal="center" vertical="center" wrapText="1"/>
    </xf>
    <xf numFmtId="0" fontId="27" fillId="0" borderId="18" xfId="27" applyFont="1" applyBorder="1" applyAlignment="1">
      <alignment vertical="center"/>
    </xf>
    <xf numFmtId="0" fontId="27" fillId="0" borderId="1" xfId="27" applyFont="1" applyBorder="1" applyAlignment="1">
      <alignment vertical="center"/>
    </xf>
    <xf numFmtId="0" fontId="27" fillId="0" borderId="1" xfId="27" applyFont="1" applyBorder="1" applyAlignment="1">
      <alignment horizontal="center" vertical="center" wrapText="1"/>
    </xf>
    <xf numFmtId="0" fontId="2" fillId="0" borderId="10" xfId="27" applyBorder="1"/>
    <xf numFmtId="164" fontId="15" fillId="2" borderId="1" xfId="28" applyNumberFormat="1" applyFont="1" applyFill="1" applyBorder="1" applyAlignment="1">
      <alignment vertical="center" wrapText="1"/>
    </xf>
    <xf numFmtId="164" fontId="15" fillId="2" borderId="1" xfId="28" quotePrefix="1" applyNumberFormat="1" applyFont="1" applyFill="1" applyBorder="1" applyAlignment="1">
      <alignment vertical="center" wrapText="1"/>
    </xf>
    <xf numFmtId="0" fontId="15" fillId="0" borderId="18" xfId="27" applyFont="1" applyFill="1" applyBorder="1" applyAlignment="1">
      <alignment vertical="top" wrapText="1"/>
    </xf>
    <xf numFmtId="164" fontId="15" fillId="2" borderId="19" xfId="28" applyNumberFormat="1" applyFont="1" applyFill="1" applyBorder="1" applyAlignment="1">
      <alignment vertical="center" wrapText="1"/>
    </xf>
    <xf numFmtId="0" fontId="16" fillId="0" borderId="18" xfId="27" applyFont="1" applyFill="1" applyBorder="1" applyAlignment="1">
      <alignment horizontal="right" vertical="top" wrapText="1"/>
    </xf>
    <xf numFmtId="0" fontId="16" fillId="0" borderId="20" xfId="27" applyFont="1" applyFill="1" applyBorder="1" applyAlignment="1">
      <alignment vertical="top"/>
    </xf>
    <xf numFmtId="0" fontId="16" fillId="0" borderId="1" xfId="27" applyFont="1" applyFill="1" applyBorder="1" applyAlignment="1">
      <alignment vertical="top" wrapText="1"/>
    </xf>
    <xf numFmtId="0" fontId="16" fillId="0" borderId="1" xfId="27" applyFont="1" applyFill="1" applyBorder="1" applyAlignment="1">
      <alignment horizontal="right" vertical="top" wrapText="1"/>
    </xf>
    <xf numFmtId="0" fontId="2" fillId="0" borderId="1" xfId="27" applyBorder="1"/>
    <xf numFmtId="0" fontId="2" fillId="0" borderId="6" xfId="27" applyBorder="1"/>
    <xf numFmtId="164" fontId="16" fillId="2" borderId="1" xfId="28" applyNumberFormat="1" applyFont="1" applyFill="1" applyBorder="1" applyAlignment="1">
      <alignment horizontal="center" vertical="top" wrapText="1"/>
    </xf>
    <xf numFmtId="164" fontId="16" fillId="2" borderId="1" xfId="28" quotePrefix="1" applyNumberFormat="1" applyFont="1" applyFill="1" applyBorder="1" applyAlignment="1">
      <alignment horizontal="center" vertical="top" wrapText="1"/>
    </xf>
    <xf numFmtId="0" fontId="16" fillId="0" borderId="18" xfId="27" quotePrefix="1" applyFont="1" applyFill="1" applyBorder="1" applyAlignment="1">
      <alignment horizontal="right" vertical="top" wrapText="1"/>
    </xf>
    <xf numFmtId="0" fontId="16" fillId="2" borderId="19" xfId="27" applyFont="1" applyFill="1" applyBorder="1" applyAlignment="1">
      <alignment horizontal="left" vertical="top" wrapText="1"/>
    </xf>
    <xf numFmtId="0" fontId="18" fillId="0" borderId="18" xfId="27" quotePrefix="1" applyFont="1" applyBorder="1" applyAlignment="1">
      <alignment horizontal="right" vertical="top"/>
    </xf>
    <xf numFmtId="0" fontId="26" fillId="2" borderId="19" xfId="27" applyFont="1" applyFill="1" applyBorder="1" applyAlignment="1">
      <alignment horizontal="left" vertical="top" wrapText="1"/>
    </xf>
    <xf numFmtId="0" fontId="26" fillId="2" borderId="1" xfId="27" applyFont="1" applyFill="1" applyBorder="1" applyAlignment="1">
      <alignment horizontal="center" vertical="center" wrapText="1"/>
    </xf>
    <xf numFmtId="9" fontId="18" fillId="0" borderId="1" xfId="27" applyNumberFormat="1" applyFont="1" applyBorder="1" applyAlignment="1">
      <alignment horizontal="center" vertical="center"/>
    </xf>
    <xf numFmtId="0" fontId="26" fillId="2" borderId="1" xfId="27" applyFont="1" applyFill="1" applyBorder="1" applyAlignment="1">
      <alignment horizontal="left" vertical="center" wrapText="1"/>
    </xf>
    <xf numFmtId="0" fontId="18" fillId="0" borderId="18" xfId="27" applyFont="1" applyBorder="1" applyAlignment="1">
      <alignment horizontal="right" vertical="top"/>
    </xf>
    <xf numFmtId="0" fontId="26" fillId="2" borderId="1" xfId="27" applyFont="1" applyFill="1" applyBorder="1" applyAlignment="1">
      <alignment horizontal="center" vertical="center"/>
    </xf>
    <xf numFmtId="164" fontId="26" fillId="2" borderId="1" xfId="28" quotePrefix="1" applyNumberFormat="1" applyFont="1" applyFill="1" applyBorder="1" applyAlignment="1">
      <alignment horizontal="center" vertical="center" wrapText="1"/>
    </xf>
    <xf numFmtId="164" fontId="26" fillId="2" borderId="1" xfId="28" applyNumberFormat="1" applyFont="1" applyFill="1" applyBorder="1" applyAlignment="1">
      <alignment horizontal="left" vertical="center" wrapText="1"/>
    </xf>
    <xf numFmtId="164" fontId="26" fillId="2" borderId="1" xfId="28" applyNumberFormat="1" applyFont="1" applyFill="1" applyBorder="1" applyAlignment="1">
      <alignment horizontal="center" vertical="center" wrapText="1"/>
    </xf>
    <xf numFmtId="0" fontId="18" fillId="0" borderId="1" xfId="27" applyFont="1" applyBorder="1" applyAlignment="1">
      <alignment horizontal="center"/>
    </xf>
    <xf numFmtId="0" fontId="2" fillId="0" borderId="11" xfId="27" applyBorder="1"/>
    <xf numFmtId="9" fontId="26" fillId="2" borderId="1" xfId="28" applyNumberFormat="1" applyFont="1" applyFill="1" applyBorder="1" applyAlignment="1">
      <alignment horizontal="center" vertical="center" wrapText="1"/>
    </xf>
    <xf numFmtId="164" fontId="16" fillId="2" borderId="0" xfId="28" applyNumberFormat="1" applyFont="1" applyFill="1" applyBorder="1" applyAlignment="1">
      <alignment horizontal="center" vertical="top" wrapText="1"/>
    </xf>
    <xf numFmtId="164" fontId="16" fillId="2" borderId="0" xfId="28" quotePrefix="1" applyNumberFormat="1" applyFont="1" applyFill="1" applyBorder="1" applyAlignment="1">
      <alignment horizontal="center" vertical="top" wrapText="1"/>
    </xf>
    <xf numFmtId="0" fontId="16" fillId="0" borderId="0" xfId="27" quotePrefix="1" applyFont="1" applyFill="1" applyBorder="1" applyAlignment="1">
      <alignment horizontal="right" vertical="top" wrapText="1"/>
    </xf>
    <xf numFmtId="0" fontId="16" fillId="2" borderId="0" xfId="27" applyFont="1" applyFill="1" applyBorder="1" applyAlignment="1">
      <alignment horizontal="left" vertical="top" wrapText="1"/>
    </xf>
    <xf numFmtId="0" fontId="2" fillId="0" borderId="0" xfId="27" quotePrefix="1" applyBorder="1" applyAlignment="1">
      <alignment horizontal="right" vertical="top"/>
    </xf>
    <xf numFmtId="9" fontId="26" fillId="2" borderId="0" xfId="28" applyNumberFormat="1" applyFont="1" applyFill="1" applyBorder="1" applyAlignment="1">
      <alignment horizontal="center" vertical="center" wrapText="1"/>
    </xf>
    <xf numFmtId="0" fontId="26" fillId="2" borderId="0" xfId="27" applyFont="1" applyFill="1" applyBorder="1" applyAlignment="1">
      <alignment horizontal="center" vertical="center" wrapText="1"/>
    </xf>
    <xf numFmtId="0" fontId="2" fillId="0" borderId="0" xfId="27" applyBorder="1"/>
    <xf numFmtId="9" fontId="18" fillId="0" borderId="0" xfId="27" applyNumberFormat="1" applyFont="1" applyBorder="1" applyAlignment="1">
      <alignment horizontal="center" vertical="center"/>
    </xf>
    <xf numFmtId="164" fontId="16" fillId="2" borderId="0" xfId="28" applyNumberFormat="1" applyFont="1" applyFill="1" applyBorder="1" applyAlignment="1">
      <alignment horizontal="left" vertical="center" wrapText="1"/>
    </xf>
    <xf numFmtId="0" fontId="24" fillId="0" borderId="0" xfId="27" applyFont="1" applyFill="1" applyAlignment="1">
      <alignment vertical="center"/>
    </xf>
    <xf numFmtId="0" fontId="2" fillId="0" borderId="0" xfId="27" applyAlignment="1">
      <alignment horizontal="right" vertical="top"/>
    </xf>
    <xf numFmtId="0" fontId="2" fillId="0" borderId="0" xfId="27" applyFont="1"/>
    <xf numFmtId="168" fontId="8" fillId="0" borderId="2" xfId="0" applyNumberFormat="1" applyFont="1" applyFill="1" applyBorder="1" applyAlignment="1">
      <alignment vertical="top"/>
    </xf>
    <xf numFmtId="0" fontId="8" fillId="0" borderId="2" xfId="0" applyNumberFormat="1" applyFont="1" applyFill="1" applyBorder="1" applyAlignment="1">
      <alignment vertical="top"/>
    </xf>
    <xf numFmtId="0" fontId="8" fillId="0" borderId="2" xfId="0" applyFont="1" applyFill="1" applyBorder="1" applyAlignment="1">
      <alignment vertical="top" wrapText="1"/>
    </xf>
    <xf numFmtId="168" fontId="8" fillId="0" borderId="6" xfId="1" applyNumberFormat="1" applyFont="1" applyFill="1" applyBorder="1" applyAlignment="1">
      <alignment vertical="top"/>
    </xf>
    <xf numFmtId="0" fontId="8" fillId="0" borderId="11" xfId="0" applyFont="1" applyFill="1" applyBorder="1" applyAlignment="1">
      <alignment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vertical="top" wrapText="1"/>
    </xf>
    <xf numFmtId="168" fontId="8" fillId="0" borderId="23" xfId="1" applyNumberFormat="1" applyFont="1" applyFill="1" applyBorder="1" applyAlignment="1">
      <alignment vertical="top"/>
    </xf>
    <xf numFmtId="0" fontId="21" fillId="0" borderId="24" xfId="0" applyFont="1" applyFill="1" applyBorder="1" applyAlignment="1">
      <alignment horizontal="left" vertical="top" wrapText="1"/>
    </xf>
    <xf numFmtId="164" fontId="9" fillId="0" borderId="4" xfId="2" applyFont="1" applyFill="1" applyBorder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0" fontId="26" fillId="0" borderId="2" xfId="0" applyFont="1" applyFill="1" applyBorder="1" applyAlignment="1">
      <alignment vertical="center" wrapText="1"/>
    </xf>
    <xf numFmtId="0" fontId="26" fillId="0" borderId="1" xfId="27" applyFont="1" applyFill="1" applyBorder="1" applyAlignment="1">
      <alignment horizontal="center" vertical="center" wrapText="1"/>
    </xf>
    <xf numFmtId="0" fontId="8" fillId="0" borderId="2" xfId="8" quotePrefix="1" applyFont="1" applyFill="1" applyBorder="1" applyAlignment="1">
      <alignment horizontal="left" vertical="top" wrapText="1"/>
    </xf>
    <xf numFmtId="0" fontId="8" fillId="0" borderId="4" xfId="0" quotePrefix="1" applyFont="1" applyBorder="1" applyAlignment="1">
      <alignment horizontal="right" vertical="top"/>
    </xf>
    <xf numFmtId="0" fontId="8" fillId="0" borderId="4" xfId="3" applyFont="1" applyFill="1" applyBorder="1" applyAlignment="1">
      <alignment horizontal="left" vertical="top" wrapText="1"/>
    </xf>
    <xf numFmtId="164" fontId="8" fillId="0" borderId="4" xfId="2" applyFont="1" applyBorder="1" applyAlignment="1">
      <alignment vertical="top" wrapText="1"/>
    </xf>
    <xf numFmtId="164" fontId="8" fillId="0" borderId="2" xfId="2" applyFont="1" applyFill="1" applyBorder="1" applyAlignment="1">
      <alignment vertical="top" wrapText="1"/>
    </xf>
    <xf numFmtId="0" fontId="8" fillId="4" borderId="0" xfId="0" applyFont="1" applyFill="1"/>
    <xf numFmtId="0" fontId="8" fillId="4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top"/>
    </xf>
    <xf numFmtId="0" fontId="8" fillId="4" borderId="2" xfId="0" applyFont="1" applyFill="1" applyBorder="1" applyAlignment="1">
      <alignment vertical="top"/>
    </xf>
    <xf numFmtId="0" fontId="8" fillId="4" borderId="5" xfId="0" applyFont="1" applyFill="1" applyBorder="1" applyAlignment="1">
      <alignment vertical="top"/>
    </xf>
    <xf numFmtId="0" fontId="8" fillId="4" borderId="3" xfId="0" applyFont="1" applyFill="1" applyBorder="1" applyAlignment="1">
      <alignment vertical="top"/>
    </xf>
    <xf numFmtId="0" fontId="9" fillId="4" borderId="20" xfId="0" applyFont="1" applyFill="1" applyBorder="1" applyAlignment="1">
      <alignment horizontal="right" vertical="top"/>
    </xf>
    <xf numFmtId="0" fontId="8" fillId="4" borderId="2" xfId="5" applyFont="1" applyFill="1" applyBorder="1" applyAlignment="1">
      <alignment vertical="top" wrapText="1"/>
    </xf>
    <xf numFmtId="0" fontId="8" fillId="4" borderId="1" xfId="0" applyFont="1" applyFill="1" applyBorder="1" applyAlignment="1">
      <alignment vertical="center"/>
    </xf>
    <xf numFmtId="168" fontId="8" fillId="4" borderId="2" xfId="1" applyNumberFormat="1" applyFont="1" applyFill="1" applyBorder="1" applyAlignment="1">
      <alignment vertical="top"/>
    </xf>
    <xf numFmtId="168" fontId="8" fillId="4" borderId="2" xfId="1" applyNumberFormat="1" applyFont="1" applyFill="1" applyBorder="1" applyAlignment="1">
      <alignment vertical="top" wrapText="1"/>
    </xf>
    <xf numFmtId="0" fontId="8" fillId="4" borderId="2" xfId="5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vertical="top" wrapText="1"/>
    </xf>
    <xf numFmtId="0" fontId="8" fillId="4" borderId="4" xfId="5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/>
    </xf>
    <xf numFmtId="0" fontId="9" fillId="0" borderId="20" xfId="0" applyFont="1" applyFill="1" applyBorder="1" applyAlignment="1">
      <alignment horizontal="right" vertical="top"/>
    </xf>
    <xf numFmtId="0" fontId="8" fillId="0" borderId="1" xfId="0" applyFont="1" applyFill="1" applyBorder="1" applyAlignment="1">
      <alignment vertical="center"/>
    </xf>
    <xf numFmtId="0" fontId="21" fillId="4" borderId="2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 wrapText="1"/>
    </xf>
    <xf numFmtId="0" fontId="8" fillId="0" borderId="9" xfId="3" applyFont="1" applyFill="1" applyBorder="1" applyAlignment="1">
      <alignment vertical="top" wrapText="1"/>
    </xf>
    <xf numFmtId="0" fontId="8" fillId="4" borderId="0" xfId="0" applyFont="1" applyFill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168" fontId="9" fillId="4" borderId="4" xfId="1" applyNumberFormat="1" applyFont="1" applyFill="1" applyBorder="1" applyAlignment="1">
      <alignment horizontal="right" vertical="top"/>
    </xf>
    <xf numFmtId="168" fontId="9" fillId="4" borderId="3" xfId="1" applyNumberFormat="1" applyFont="1" applyFill="1" applyBorder="1" applyAlignment="1">
      <alignment vertical="top"/>
    </xf>
    <xf numFmtId="168" fontId="9" fillId="4" borderId="4" xfId="1" applyNumberFormat="1" applyFont="1" applyFill="1" applyBorder="1" applyAlignment="1">
      <alignment vertical="top"/>
    </xf>
    <xf numFmtId="168" fontId="8" fillId="4" borderId="3" xfId="1" applyNumberFormat="1" applyFont="1" applyFill="1" applyBorder="1" applyAlignment="1">
      <alignment vertical="top"/>
    </xf>
    <xf numFmtId="0" fontId="8" fillId="4" borderId="5" xfId="5" applyFont="1" applyFill="1" applyBorder="1" applyAlignment="1">
      <alignment vertical="top" wrapText="1"/>
    </xf>
    <xf numFmtId="166" fontId="9" fillId="4" borderId="5" xfId="6" applyNumberFormat="1" applyFont="1" applyFill="1" applyBorder="1" applyAlignment="1">
      <alignment horizontal="right" vertical="top"/>
    </xf>
    <xf numFmtId="166" fontId="8" fillId="4" borderId="2" xfId="6" applyNumberFormat="1" applyFont="1" applyFill="1" applyBorder="1" applyAlignment="1">
      <alignment horizontal="right" vertical="top"/>
    </xf>
    <xf numFmtId="167" fontId="8" fillId="4" borderId="2" xfId="6" applyNumberFormat="1" applyFont="1" applyFill="1" applyBorder="1" applyAlignment="1">
      <alignment horizontal="right" vertical="top"/>
    </xf>
    <xf numFmtId="0" fontId="8" fillId="4" borderId="11" xfId="5" applyFont="1" applyFill="1" applyBorder="1" applyAlignment="1">
      <alignment horizontal="left" vertical="top" wrapText="1"/>
    </xf>
    <xf numFmtId="167" fontId="8" fillId="4" borderId="11" xfId="6" applyNumberFormat="1" applyFont="1" applyFill="1" applyBorder="1" applyAlignment="1">
      <alignment horizontal="right" vertical="top"/>
    </xf>
    <xf numFmtId="164" fontId="9" fillId="4" borderId="5" xfId="2" applyFont="1" applyFill="1" applyBorder="1" applyAlignment="1">
      <alignment horizontal="right" vertical="center"/>
    </xf>
    <xf numFmtId="0" fontId="8" fillId="4" borderId="3" xfId="5" applyFont="1" applyFill="1" applyBorder="1" applyAlignment="1">
      <alignment horizontal="left" vertical="top" wrapText="1"/>
    </xf>
    <xf numFmtId="164" fontId="8" fillId="4" borderId="3" xfId="2" applyFont="1" applyFill="1" applyBorder="1" applyAlignment="1">
      <alignment horizontal="right" vertical="top"/>
    </xf>
    <xf numFmtId="164" fontId="9" fillId="4" borderId="2" xfId="2" applyFont="1" applyFill="1" applyBorder="1" applyAlignment="1">
      <alignment horizontal="right" vertical="center"/>
    </xf>
    <xf numFmtId="164" fontId="8" fillId="4" borderId="2" xfId="2" applyFont="1" applyFill="1" applyBorder="1" applyAlignment="1">
      <alignment horizontal="right" vertical="top"/>
    </xf>
    <xf numFmtId="164" fontId="8" fillId="4" borderId="4" xfId="2" applyFont="1" applyFill="1" applyBorder="1" applyAlignment="1">
      <alignment horizontal="right" vertical="top"/>
    </xf>
    <xf numFmtId="164" fontId="9" fillId="4" borderId="4" xfId="2" applyFont="1" applyFill="1" applyBorder="1" applyAlignment="1">
      <alignment horizontal="right" vertical="center"/>
    </xf>
    <xf numFmtId="164" fontId="8" fillId="4" borderId="25" xfId="2" applyFont="1" applyFill="1" applyBorder="1" applyAlignment="1">
      <alignment horizontal="right" vertical="top"/>
    </xf>
    <xf numFmtId="164" fontId="9" fillId="4" borderId="19" xfId="5" applyNumberFormat="1" applyFont="1" applyFill="1" applyBorder="1" applyAlignment="1">
      <alignment vertical="center"/>
    </xf>
    <xf numFmtId="164" fontId="8" fillId="4" borderId="0" xfId="0" applyNumberFormat="1" applyFont="1" applyFill="1"/>
    <xf numFmtId="164" fontId="8" fillId="4" borderId="0" xfId="2" applyFont="1" applyFill="1"/>
    <xf numFmtId="168" fontId="8" fillId="4" borderId="0" xfId="0" applyNumberFormat="1" applyFont="1" applyFill="1"/>
    <xf numFmtId="0" fontId="8" fillId="4" borderId="3" xfId="0" applyFont="1" applyFill="1" applyBorder="1" applyAlignment="1">
      <alignment vertical="top" wrapText="1"/>
    </xf>
    <xf numFmtId="0" fontId="8" fillId="4" borderId="4" xfId="0" applyFont="1" applyFill="1" applyBorder="1" applyAlignment="1">
      <alignment vertical="top" wrapText="1"/>
    </xf>
    <xf numFmtId="0" fontId="9" fillId="4" borderId="20" xfId="0" applyFont="1" applyFill="1" applyBorder="1" applyAlignment="1">
      <alignment horizontal="right" vertical="top" wrapText="1"/>
    </xf>
    <xf numFmtId="0" fontId="8" fillId="4" borderId="24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8" fillId="0" borderId="2" xfId="0" applyNumberFormat="1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/>
    </xf>
    <xf numFmtId="0" fontId="8" fillId="0" borderId="2" xfId="5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/>
    </xf>
    <xf numFmtId="3" fontId="13" fillId="0" borderId="0" xfId="13" applyNumberFormat="1" applyFont="1"/>
    <xf numFmtId="0" fontId="8" fillId="5" borderId="2" xfId="0" applyFont="1" applyFill="1" applyBorder="1" applyAlignment="1">
      <alignment vertical="top"/>
    </xf>
    <xf numFmtId="0" fontId="8" fillId="5" borderId="2" xfId="0" quotePrefix="1" applyFont="1" applyFill="1" applyBorder="1" applyAlignment="1">
      <alignment horizontal="right" vertical="top"/>
    </xf>
    <xf numFmtId="0" fontId="8" fillId="5" borderId="2" xfId="3" applyFont="1" applyFill="1" applyBorder="1" applyAlignment="1">
      <alignment horizontal="left" vertical="top" wrapText="1"/>
    </xf>
    <xf numFmtId="0" fontId="8" fillId="5" borderId="2" xfId="4" applyFont="1" applyFill="1" applyBorder="1" applyAlignment="1">
      <alignment vertical="top" wrapText="1"/>
    </xf>
    <xf numFmtId="9" fontId="8" fillId="5" borderId="7" xfId="3" applyNumberFormat="1" applyFont="1" applyFill="1" applyBorder="1" applyAlignment="1">
      <alignment vertical="top" wrapText="1"/>
    </xf>
    <xf numFmtId="164" fontId="8" fillId="5" borderId="2" xfId="2" applyFont="1" applyFill="1" applyBorder="1" applyAlignment="1">
      <alignment horizontal="right" vertical="top" wrapText="1"/>
    </xf>
    <xf numFmtId="164" fontId="8" fillId="5" borderId="2" xfId="2" applyFont="1" applyFill="1" applyBorder="1" applyAlignment="1">
      <alignment vertical="top"/>
    </xf>
    <xf numFmtId="164" fontId="8" fillId="5" borderId="2" xfId="2" applyFont="1" applyFill="1" applyBorder="1" applyAlignment="1">
      <alignment vertical="top" wrapText="1"/>
    </xf>
    <xf numFmtId="164" fontId="8" fillId="5" borderId="23" xfId="2" applyFont="1" applyFill="1" applyBorder="1" applyAlignment="1">
      <alignment vertical="top"/>
    </xf>
    <xf numFmtId="164" fontId="8" fillId="5" borderId="2" xfId="2" applyFont="1" applyFill="1" applyBorder="1" applyAlignment="1">
      <alignment horizontal="right" vertical="top"/>
    </xf>
    <xf numFmtId="0" fontId="8" fillId="5" borderId="2" xfId="5" applyFont="1" applyFill="1" applyBorder="1" applyAlignment="1">
      <alignment vertical="top" wrapText="1"/>
    </xf>
    <xf numFmtId="168" fontId="8" fillId="5" borderId="4" xfId="1" applyNumberFormat="1" applyFont="1" applyFill="1" applyBorder="1" applyAlignment="1">
      <alignment vertical="top"/>
    </xf>
    <xf numFmtId="168" fontId="8" fillId="5" borderId="2" xfId="0" applyNumberFormat="1" applyFont="1" applyFill="1" applyBorder="1" applyAlignment="1">
      <alignment vertical="top"/>
    </xf>
    <xf numFmtId="165" fontId="8" fillId="5" borderId="2" xfId="0" applyNumberFormat="1" applyFont="1" applyFill="1" applyBorder="1" applyAlignment="1">
      <alignment vertical="top"/>
    </xf>
    <xf numFmtId="168" fontId="8" fillId="5" borderId="2" xfId="11" applyNumberFormat="1" applyFont="1" applyFill="1" applyBorder="1" applyAlignment="1">
      <alignment horizontal="center" vertical="top"/>
    </xf>
    <xf numFmtId="9" fontId="8" fillId="5" borderId="2" xfId="11" applyFont="1" applyFill="1" applyBorder="1" applyAlignment="1">
      <alignment horizontal="center" vertical="top"/>
    </xf>
    <xf numFmtId="165" fontId="8" fillId="5" borderId="4" xfId="11" applyNumberFormat="1" applyFont="1" applyFill="1" applyBorder="1" applyAlignment="1">
      <alignment horizontal="center" vertical="top"/>
    </xf>
    <xf numFmtId="0" fontId="8" fillId="5" borderId="2" xfId="0" applyFont="1" applyFill="1" applyBorder="1" applyAlignment="1">
      <alignment vertical="top" wrapText="1"/>
    </xf>
    <xf numFmtId="0" fontId="8" fillId="5" borderId="0" xfId="0" applyFont="1" applyFill="1" applyAlignment="1">
      <alignment vertical="top"/>
    </xf>
    <xf numFmtId="168" fontId="8" fillId="5" borderId="0" xfId="0" applyNumberFormat="1" applyFont="1" applyFill="1" applyAlignment="1">
      <alignment vertical="top"/>
    </xf>
    <xf numFmtId="0" fontId="8" fillId="5" borderId="23" xfId="0" applyFont="1" applyFill="1" applyBorder="1" applyAlignment="1">
      <alignment vertical="top"/>
    </xf>
    <xf numFmtId="0" fontId="8" fillId="5" borderId="2" xfId="30" applyFont="1" applyFill="1" applyBorder="1" applyAlignment="1">
      <alignment horizontal="left" vertical="top" wrapText="1"/>
    </xf>
    <xf numFmtId="168" fontId="8" fillId="5" borderId="23" xfId="0" applyNumberFormat="1" applyFont="1" applyFill="1" applyBorder="1" applyAlignment="1">
      <alignment vertical="top"/>
    </xf>
    <xf numFmtId="9" fontId="8" fillId="5" borderId="23" xfId="11" applyFont="1" applyFill="1" applyBorder="1" applyAlignment="1">
      <alignment horizontal="center" vertical="top"/>
    </xf>
    <xf numFmtId="0" fontId="8" fillId="5" borderId="23" xfId="0" applyFont="1" applyFill="1" applyBorder="1" applyAlignment="1">
      <alignment vertical="top" wrapText="1"/>
    </xf>
    <xf numFmtId="0" fontId="8" fillId="5" borderId="23" xfId="0" quotePrefix="1" applyFont="1" applyFill="1" applyBorder="1" applyAlignment="1">
      <alignment horizontal="right" vertical="top"/>
    </xf>
    <xf numFmtId="0" fontId="8" fillId="5" borderId="23" xfId="4" applyFont="1" applyFill="1" applyBorder="1" applyAlignment="1">
      <alignment vertical="top" wrapText="1"/>
    </xf>
    <xf numFmtId="0" fontId="8" fillId="5" borderId="23" xfId="3" applyFont="1" applyFill="1" applyBorder="1" applyAlignment="1">
      <alignment horizontal="left" vertical="top" wrapText="1"/>
    </xf>
    <xf numFmtId="164" fontId="8" fillId="5" borderId="7" xfId="2" applyFont="1" applyFill="1" applyBorder="1" applyAlignment="1">
      <alignment vertical="top" wrapText="1"/>
    </xf>
    <xf numFmtId="164" fontId="8" fillId="5" borderId="23" xfId="2" applyFont="1" applyFill="1" applyBorder="1" applyAlignment="1">
      <alignment horizontal="right" vertical="top"/>
    </xf>
    <xf numFmtId="168" fontId="8" fillId="5" borderId="2" xfId="1" applyNumberFormat="1" applyFont="1" applyFill="1" applyBorder="1" applyAlignment="1">
      <alignment vertical="top"/>
    </xf>
    <xf numFmtId="168" fontId="8" fillId="2" borderId="2" xfId="0" applyNumberFormat="1" applyFont="1" applyFill="1" applyBorder="1" applyAlignment="1">
      <alignment vertical="top" wrapText="1"/>
    </xf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vertical="top" wrapText="1"/>
    </xf>
    <xf numFmtId="0" fontId="9" fillId="0" borderId="4" xfId="3" applyFont="1" applyFill="1" applyBorder="1" applyAlignment="1">
      <alignment horizontal="left" vertical="top" wrapText="1"/>
    </xf>
    <xf numFmtId="0" fontId="9" fillId="0" borderId="3" xfId="4" applyFont="1" applyFill="1" applyBorder="1" applyAlignment="1">
      <alignment vertical="top" wrapText="1"/>
    </xf>
    <xf numFmtId="0" fontId="9" fillId="0" borderId="3" xfId="3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horizontal="center" vertical="top"/>
    </xf>
    <xf numFmtId="0" fontId="8" fillId="0" borderId="2" xfId="4" applyFont="1" applyFill="1" applyBorder="1" applyAlignment="1">
      <alignment horizontal="left" vertical="top" wrapText="1"/>
    </xf>
    <xf numFmtId="0" fontId="8" fillId="0" borderId="3" xfId="4" applyFont="1" applyFill="1" applyBorder="1" applyAlignment="1">
      <alignment horizontal="left" vertical="top" wrapText="1"/>
    </xf>
    <xf numFmtId="0" fontId="8" fillId="0" borderId="5" xfId="5" applyFont="1" applyFill="1" applyBorder="1" applyAlignment="1">
      <alignment vertical="top" wrapText="1"/>
    </xf>
    <xf numFmtId="0" fontId="8" fillId="0" borderId="5" xfId="0" applyFont="1" applyFill="1" applyBorder="1" applyAlignment="1">
      <alignment horizontal="center" vertical="top"/>
    </xf>
    <xf numFmtId="0" fontId="8" fillId="0" borderId="11" xfId="4" applyFont="1" applyFill="1" applyBorder="1" applyAlignment="1">
      <alignment horizontal="left" vertical="top" wrapText="1"/>
    </xf>
    <xf numFmtId="0" fontId="9" fillId="0" borderId="5" xfId="4" applyFont="1" applyFill="1" applyBorder="1" applyAlignment="1">
      <alignment vertical="top" wrapText="1"/>
    </xf>
    <xf numFmtId="0" fontId="8" fillId="0" borderId="3" xfId="5" applyFont="1" applyFill="1" applyBorder="1" applyAlignment="1">
      <alignment horizontal="left" vertical="top" wrapText="1"/>
    </xf>
    <xf numFmtId="164" fontId="8" fillId="0" borderId="3" xfId="2" applyFont="1" applyFill="1" applyBorder="1" applyAlignment="1">
      <alignment horizontal="right" vertical="top"/>
    </xf>
    <xf numFmtId="0" fontId="9" fillId="0" borderId="2" xfId="4" applyFont="1" applyFill="1" applyBorder="1" applyAlignment="1">
      <alignment vertical="top" wrapText="1"/>
    </xf>
    <xf numFmtId="0" fontId="9" fillId="0" borderId="2" xfId="3" applyFont="1" applyFill="1" applyBorder="1" applyAlignment="1">
      <alignment horizontal="left" vertical="top" wrapText="1"/>
    </xf>
    <xf numFmtId="0" fontId="8" fillId="0" borderId="2" xfId="4" applyFont="1" applyFill="1" applyBorder="1" applyAlignment="1">
      <alignment vertical="top" wrapText="1"/>
    </xf>
    <xf numFmtId="0" fontId="8" fillId="0" borderId="6" xfId="4" applyFont="1" applyFill="1" applyBorder="1" applyAlignment="1">
      <alignment vertical="top" wrapText="1"/>
    </xf>
    <xf numFmtId="0" fontId="8" fillId="0" borderId="4" xfId="4" applyFont="1" applyFill="1" applyBorder="1" applyAlignment="1">
      <alignment vertical="top" wrapText="1"/>
    </xf>
    <xf numFmtId="9" fontId="8" fillId="0" borderId="7" xfId="3" applyNumberFormat="1" applyFont="1" applyFill="1" applyBorder="1" applyAlignment="1">
      <alignment vertical="top" wrapText="1"/>
    </xf>
    <xf numFmtId="164" fontId="9" fillId="0" borderId="20" xfId="0" applyNumberFormat="1" applyFont="1" applyFill="1" applyBorder="1" applyAlignment="1">
      <alignment horizontal="right" vertical="top"/>
    </xf>
    <xf numFmtId="0" fontId="9" fillId="0" borderId="20" xfId="0" applyFont="1" applyFill="1" applyBorder="1" applyAlignment="1">
      <alignment horizontal="right" vertical="top" wrapText="1"/>
    </xf>
    <xf numFmtId="0" fontId="8" fillId="0" borderId="2" xfId="30" applyFont="1" applyFill="1" applyBorder="1" applyAlignment="1">
      <alignment horizontal="left" vertical="top" wrapText="1"/>
    </xf>
    <xf numFmtId="0" fontId="8" fillId="0" borderId="23" xfId="4" applyFont="1" applyFill="1" applyBorder="1" applyAlignment="1">
      <alignment vertical="top" wrapText="1"/>
    </xf>
    <xf numFmtId="0" fontId="8" fillId="0" borderId="23" xfId="3" applyFont="1" applyFill="1" applyBorder="1" applyAlignment="1">
      <alignment horizontal="left" vertical="top" wrapText="1"/>
    </xf>
    <xf numFmtId="164" fontId="8" fillId="0" borderId="7" xfId="2" applyFont="1" applyFill="1" applyBorder="1" applyAlignment="1">
      <alignment vertical="top" wrapText="1"/>
    </xf>
    <xf numFmtId="164" fontId="8" fillId="0" borderId="23" xfId="2" applyFont="1" applyFill="1" applyBorder="1" applyAlignment="1">
      <alignment horizontal="right" vertical="top"/>
    </xf>
    <xf numFmtId="0" fontId="22" fillId="0" borderId="2" xfId="8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left" vertical="top" wrapText="1"/>
    </xf>
    <xf numFmtId="164" fontId="8" fillId="0" borderId="25" xfId="2" applyFont="1" applyFill="1" applyBorder="1" applyAlignment="1">
      <alignment horizontal="right" vertical="top"/>
    </xf>
    <xf numFmtId="0" fontId="8" fillId="0" borderId="0" xfId="0" applyFont="1" applyFill="1" applyAlignment="1">
      <alignment wrapText="1"/>
    </xf>
    <xf numFmtId="164" fontId="8" fillId="0" borderId="0" xfId="0" applyNumberFormat="1" applyFont="1" applyFill="1"/>
    <xf numFmtId="164" fontId="8" fillId="0" borderId="0" xfId="2" applyFont="1" applyFill="1"/>
    <xf numFmtId="168" fontId="8" fillId="0" borderId="0" xfId="0" applyNumberFormat="1" applyFont="1" applyFill="1"/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28" fillId="0" borderId="0" xfId="0" applyFont="1" applyAlignment="1">
      <alignment wrapText="1"/>
    </xf>
    <xf numFmtId="0" fontId="30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top" wrapText="1"/>
    </xf>
    <xf numFmtId="0" fontId="30" fillId="6" borderId="10" xfId="0" applyFont="1" applyFill="1" applyBorder="1" applyAlignment="1">
      <alignment horizontal="left" vertical="top" wrapText="1"/>
    </xf>
    <xf numFmtId="0" fontId="31" fillId="6" borderId="2" xfId="0" applyFont="1" applyFill="1" applyBorder="1" applyAlignment="1">
      <alignment horizontal="left" vertical="top" wrapText="1"/>
    </xf>
    <xf numFmtId="0" fontId="30" fillId="6" borderId="2" xfId="0" applyFont="1" applyFill="1" applyBorder="1" applyAlignment="1">
      <alignment horizontal="left" vertical="top" wrapText="1"/>
    </xf>
    <xf numFmtId="0" fontId="33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29" fillId="6" borderId="2" xfId="0" applyFont="1" applyFill="1" applyBorder="1" applyAlignment="1">
      <alignment horizontal="left" vertical="top" wrapText="1"/>
    </xf>
    <xf numFmtId="0" fontId="32" fillId="6" borderId="2" xfId="0" applyFont="1" applyFill="1" applyBorder="1" applyAlignment="1">
      <alignment horizontal="left" vertical="top" wrapText="1"/>
    </xf>
    <xf numFmtId="0" fontId="29" fillId="6" borderId="2" xfId="0" applyFont="1" applyFill="1" applyBorder="1" applyAlignment="1">
      <alignment vertical="top" wrapText="1"/>
    </xf>
    <xf numFmtId="0" fontId="29" fillId="6" borderId="11" xfId="0" applyFont="1" applyFill="1" applyBorder="1" applyAlignment="1">
      <alignment horizontal="left" vertical="top" wrapText="1"/>
    </xf>
    <xf numFmtId="0" fontId="33" fillId="0" borderId="11" xfId="0" applyFont="1" applyBorder="1" applyAlignment="1">
      <alignment horizontal="left" vertical="top" wrapText="1"/>
    </xf>
    <xf numFmtId="0" fontId="28" fillId="0" borderId="10" xfId="0" applyFont="1" applyBorder="1" applyAlignment="1">
      <alignment horizontal="center" vertical="top" wrapText="1"/>
    </xf>
    <xf numFmtId="0" fontId="28" fillId="0" borderId="11" xfId="0" applyFont="1" applyBorder="1" applyAlignment="1">
      <alignment wrapText="1"/>
    </xf>
    <xf numFmtId="0" fontId="13" fillId="0" borderId="0" xfId="13" applyFont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19" fillId="2" borderId="0" xfId="0" applyFont="1" applyFill="1" applyAlignment="1">
      <alignment vertical="top" wrapText="1"/>
    </xf>
    <xf numFmtId="168" fontId="8" fillId="2" borderId="0" xfId="1" applyNumberFormat="1" applyFont="1" applyFill="1"/>
    <xf numFmtId="0" fontId="8" fillId="2" borderId="0" xfId="0" applyFont="1" applyFill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8" fontId="8" fillId="2" borderId="1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top"/>
    </xf>
    <xf numFmtId="168" fontId="8" fillId="2" borderId="0" xfId="0" applyNumberFormat="1" applyFont="1" applyFill="1" applyAlignment="1">
      <alignment vertical="top"/>
    </xf>
    <xf numFmtId="168" fontId="9" fillId="2" borderId="1" xfId="11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 wrapText="1"/>
    </xf>
    <xf numFmtId="165" fontId="8" fillId="2" borderId="0" xfId="0" applyNumberFormat="1" applyFont="1" applyFill="1" applyAlignment="1">
      <alignment vertical="top"/>
    </xf>
    <xf numFmtId="0" fontId="8" fillId="2" borderId="0" xfId="0" quotePrefix="1" applyFont="1" applyFill="1" applyAlignment="1">
      <alignment vertical="top"/>
    </xf>
    <xf numFmtId="0" fontId="8" fillId="2" borderId="1" xfId="0" applyFont="1" applyFill="1" applyBorder="1" applyAlignment="1">
      <alignment vertical="center" wrapText="1"/>
    </xf>
    <xf numFmtId="164" fontId="8" fillId="2" borderId="0" xfId="2" applyFont="1" applyFill="1"/>
    <xf numFmtId="168" fontId="19" fillId="2" borderId="0" xfId="0" applyNumberFormat="1" applyFont="1" applyFill="1" applyAlignment="1">
      <alignment vertical="top" wrapText="1"/>
    </xf>
    <xf numFmtId="0" fontId="13" fillId="0" borderId="0" xfId="13" applyFont="1" applyAlignment="1">
      <alignment wrapText="1"/>
    </xf>
    <xf numFmtId="0" fontId="13" fillId="0" borderId="1" xfId="13" applyFont="1" applyBorder="1" applyAlignment="1">
      <alignment horizontal="center" vertical="top" wrapText="1"/>
    </xf>
    <xf numFmtId="0" fontId="14" fillId="0" borderId="2" xfId="13" applyFont="1" applyBorder="1" applyAlignment="1">
      <alignment wrapText="1"/>
    </xf>
    <xf numFmtId="0" fontId="13" fillId="0" borderId="2" xfId="13" applyFont="1" applyBorder="1" applyAlignment="1">
      <alignment wrapText="1"/>
    </xf>
    <xf numFmtId="0" fontId="15" fillId="0" borderId="1" xfId="13" applyFont="1" applyBorder="1" applyAlignment="1">
      <alignment horizontal="right" vertical="center" wrapText="1"/>
    </xf>
    <xf numFmtId="0" fontId="35" fillId="0" borderId="0" xfId="13" applyFont="1"/>
    <xf numFmtId="0" fontId="35" fillId="0" borderId="0" xfId="13" applyFont="1" applyAlignment="1">
      <alignment wrapText="1"/>
    </xf>
    <xf numFmtId="164" fontId="8" fillId="2" borderId="1" xfId="2" applyFont="1" applyFill="1" applyBorder="1" applyAlignment="1">
      <alignment horizontal="center" vertical="center"/>
    </xf>
    <xf numFmtId="0" fontId="35" fillId="2" borderId="0" xfId="13" applyFont="1" applyFill="1"/>
    <xf numFmtId="0" fontId="13" fillId="2" borderId="0" xfId="13" applyFont="1" applyFill="1"/>
    <xf numFmtId="0" fontId="13" fillId="2" borderId="1" xfId="13" applyFont="1" applyFill="1" applyBorder="1" applyAlignment="1">
      <alignment horizontal="center" vertical="top"/>
    </xf>
    <xf numFmtId="3" fontId="14" fillId="2" borderId="2" xfId="13" applyNumberFormat="1" applyFont="1" applyFill="1" applyBorder="1"/>
    <xf numFmtId="3" fontId="15" fillId="2" borderId="1" xfId="13" applyNumberFormat="1" applyFont="1" applyFill="1" applyBorder="1" applyAlignment="1">
      <alignment vertical="center"/>
    </xf>
    <xf numFmtId="0" fontId="13" fillId="2" borderId="0" xfId="13" applyFont="1" applyFill="1" applyAlignment="1">
      <alignment horizontal="center"/>
    </xf>
    <xf numFmtId="0" fontId="8" fillId="2" borderId="1" xfId="0" applyFont="1" applyFill="1" applyBorder="1" applyAlignment="1">
      <alignment horizontal="left" vertical="top" wrapText="1"/>
    </xf>
    <xf numFmtId="164" fontId="8" fillId="2" borderId="1" xfId="2" applyFont="1" applyFill="1" applyBorder="1" applyAlignment="1">
      <alignment horizontal="right" vertical="top"/>
    </xf>
    <xf numFmtId="0" fontId="8" fillId="2" borderId="1" xfId="5" applyFont="1" applyFill="1" applyBorder="1" applyAlignment="1">
      <alignment vertical="top" wrapText="1"/>
    </xf>
    <xf numFmtId="0" fontId="19" fillId="2" borderId="0" xfId="0" applyFont="1" applyFill="1"/>
    <xf numFmtId="0" fontId="19" fillId="2" borderId="1" xfId="0" applyFont="1" applyFill="1" applyBorder="1" applyAlignment="1">
      <alignment vertical="center"/>
    </xf>
    <xf numFmtId="9" fontId="20" fillId="2" borderId="1" xfId="11" applyFont="1" applyFill="1" applyBorder="1" applyAlignment="1">
      <alignment horizontal="center" vertical="top"/>
    </xf>
    <xf numFmtId="168" fontId="20" fillId="2" borderId="1" xfId="0" applyNumberFormat="1" applyFont="1" applyFill="1" applyBorder="1" applyAlignment="1">
      <alignment vertical="top"/>
    </xf>
    <xf numFmtId="165" fontId="19" fillId="2" borderId="1" xfId="0" applyNumberFormat="1" applyFont="1" applyFill="1" applyBorder="1" applyAlignment="1">
      <alignment vertical="center"/>
    </xf>
    <xf numFmtId="3" fontId="15" fillId="2" borderId="2" xfId="13" applyNumberFormat="1" applyFont="1" applyFill="1" applyBorder="1"/>
    <xf numFmtId="164" fontId="13" fillId="0" borderId="0" xfId="2" applyFont="1" applyAlignment="1">
      <alignment wrapText="1"/>
    </xf>
    <xf numFmtId="3" fontId="13" fillId="0" borderId="0" xfId="13" applyNumberFormat="1" applyFont="1" applyAlignment="1">
      <alignment wrapText="1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right" vertical="center"/>
    </xf>
    <xf numFmtId="164" fontId="19" fillId="2" borderId="0" xfId="2" applyFont="1" applyFill="1"/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15" fillId="0" borderId="2" xfId="0" quotePrefix="1" applyFont="1" applyBorder="1" applyAlignment="1">
      <alignment horizontal="center" vertical="top"/>
    </xf>
    <xf numFmtId="0" fontId="8" fillId="0" borderId="0" xfId="0" applyFont="1" applyFill="1" applyAlignment="1">
      <alignment vertical="top"/>
    </xf>
    <xf numFmtId="0" fontId="8" fillId="0" borderId="1" xfId="5" applyFont="1" applyFill="1" applyBorder="1" applyAlignment="1">
      <alignment vertical="top" wrapText="1"/>
    </xf>
    <xf numFmtId="0" fontId="8" fillId="2" borderId="1" xfId="0" quotePrefix="1" applyFont="1" applyFill="1" applyBorder="1" applyAlignment="1">
      <alignment vertical="top"/>
    </xf>
    <xf numFmtId="0" fontId="9" fillId="2" borderId="1" xfId="4" applyFont="1" applyFill="1" applyBorder="1" applyAlignment="1">
      <alignment vertical="top" wrapText="1"/>
    </xf>
    <xf numFmtId="0" fontId="9" fillId="2" borderId="1" xfId="3" applyFont="1" applyFill="1" applyBorder="1" applyAlignment="1">
      <alignment horizontal="left" vertical="top" wrapText="1"/>
    </xf>
    <xf numFmtId="0" fontId="9" fillId="2" borderId="1" xfId="3" applyFont="1" applyFill="1" applyBorder="1" applyAlignment="1">
      <alignment vertical="top" wrapText="1"/>
    </xf>
    <xf numFmtId="0" fontId="20" fillId="2" borderId="1" xfId="3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168" fontId="9" fillId="0" borderId="1" xfId="1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vertical="top"/>
    </xf>
    <xf numFmtId="164" fontId="9" fillId="2" borderId="1" xfId="2" applyFont="1" applyFill="1" applyBorder="1" applyAlignment="1">
      <alignment horizontal="right" vertical="top"/>
    </xf>
    <xf numFmtId="168" fontId="9" fillId="2" borderId="1" xfId="1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right" vertical="top"/>
    </xf>
    <xf numFmtId="0" fontId="19" fillId="2" borderId="1" xfId="0" applyFont="1" applyFill="1" applyBorder="1" applyAlignment="1">
      <alignment vertical="top"/>
    </xf>
    <xf numFmtId="168" fontId="9" fillId="2" borderId="1" xfId="0" applyNumberFormat="1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8" fillId="0" borderId="1" xfId="0" quotePrefix="1" applyFont="1" applyFill="1" applyBorder="1" applyAlignment="1">
      <alignment horizontal="right" vertical="top"/>
    </xf>
    <xf numFmtId="0" fontId="9" fillId="0" borderId="1" xfId="4" applyFont="1" applyFill="1" applyBorder="1" applyAlignment="1">
      <alignment vertical="top" wrapText="1"/>
    </xf>
    <xf numFmtId="0" fontId="9" fillId="0" borderId="1" xfId="3" applyFont="1" applyFill="1" applyBorder="1" applyAlignment="1">
      <alignment horizontal="left" vertical="top" wrapText="1"/>
    </xf>
    <xf numFmtId="168" fontId="9" fillId="0" borderId="1" xfId="1" applyNumberFormat="1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164" fontId="8" fillId="0" borderId="1" xfId="2" applyFont="1" applyFill="1" applyBorder="1" applyAlignment="1">
      <alignment horizontal="right" vertical="top"/>
    </xf>
    <xf numFmtId="164" fontId="9" fillId="0" borderId="1" xfId="2" applyFont="1" applyFill="1" applyBorder="1" applyAlignment="1">
      <alignment vertical="top"/>
    </xf>
    <xf numFmtId="168" fontId="20" fillId="0" borderId="1" xfId="0" applyNumberFormat="1" applyFont="1" applyFill="1" applyBorder="1" applyAlignment="1">
      <alignment vertical="top"/>
    </xf>
    <xf numFmtId="168" fontId="20" fillId="0" borderId="1" xfId="1" applyNumberFormat="1" applyFont="1" applyFill="1" applyBorder="1" applyAlignment="1">
      <alignment vertical="top"/>
    </xf>
    <xf numFmtId="168" fontId="9" fillId="2" borderId="1" xfId="1" applyNumberFormat="1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top"/>
    </xf>
    <xf numFmtId="164" fontId="9" fillId="2" borderId="1" xfId="2" applyFont="1" applyFill="1" applyBorder="1" applyAlignment="1">
      <alignment vertical="top"/>
    </xf>
    <xf numFmtId="168" fontId="20" fillId="2" borderId="1" xfId="1" applyNumberFormat="1" applyFont="1" applyFill="1" applyBorder="1" applyAlignment="1">
      <alignment vertical="top"/>
    </xf>
    <xf numFmtId="168" fontId="20" fillId="2" borderId="1" xfId="0" applyNumberFormat="1" applyFont="1" applyFill="1" applyBorder="1" applyAlignment="1">
      <alignment horizontal="center" vertical="top"/>
    </xf>
    <xf numFmtId="165" fontId="8" fillId="2" borderId="1" xfId="0" applyNumberFormat="1" applyFont="1" applyFill="1" applyBorder="1" applyAlignment="1">
      <alignment vertical="top"/>
    </xf>
    <xf numFmtId="0" fontId="8" fillId="2" borderId="1" xfId="0" applyFont="1" applyFill="1" applyBorder="1" applyAlignment="1">
      <alignment horizontal="left" vertical="top"/>
    </xf>
    <xf numFmtId="168" fontId="8" fillId="2" borderId="1" xfId="1" applyNumberFormat="1" applyFont="1" applyFill="1" applyBorder="1" applyAlignment="1">
      <alignment vertical="top"/>
    </xf>
    <xf numFmtId="168" fontId="8" fillId="0" borderId="1" xfId="1" applyNumberFormat="1" applyFont="1" applyFill="1" applyBorder="1" applyAlignment="1">
      <alignment vertical="top"/>
    </xf>
    <xf numFmtId="164" fontId="8" fillId="2" borderId="1" xfId="2" applyFont="1" applyFill="1" applyBorder="1" applyAlignment="1">
      <alignment vertical="top"/>
    </xf>
    <xf numFmtId="168" fontId="8" fillId="2" borderId="1" xfId="0" applyNumberFormat="1" applyFont="1" applyFill="1" applyBorder="1" applyAlignment="1">
      <alignment vertical="top"/>
    </xf>
    <xf numFmtId="168" fontId="8" fillId="2" borderId="1" xfId="11" applyNumberFormat="1" applyFont="1" applyFill="1" applyBorder="1" applyAlignment="1">
      <alignment horizontal="center" vertical="top"/>
    </xf>
    <xf numFmtId="165" fontId="8" fillId="2" borderId="1" xfId="11" applyNumberFormat="1" applyFont="1" applyFill="1" applyBorder="1" applyAlignment="1">
      <alignment horizontal="center" vertical="top"/>
    </xf>
    <xf numFmtId="168" fontId="8" fillId="2" borderId="1" xfId="0" applyNumberFormat="1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top" wrapText="1"/>
    </xf>
    <xf numFmtId="166" fontId="9" fillId="2" borderId="1" xfId="6" applyNumberFormat="1" applyFont="1" applyFill="1" applyBorder="1" applyAlignment="1">
      <alignment horizontal="right" vertical="top"/>
    </xf>
    <xf numFmtId="166" fontId="9" fillId="0" borderId="1" xfId="6" applyNumberFormat="1" applyFont="1" applyFill="1" applyBorder="1" applyAlignment="1">
      <alignment horizontal="right" vertical="top"/>
    </xf>
    <xf numFmtId="0" fontId="20" fillId="2" borderId="1" xfId="0" applyFont="1" applyFill="1" applyBorder="1" applyAlignment="1">
      <alignment vertical="top"/>
    </xf>
    <xf numFmtId="0" fontId="8" fillId="2" borderId="1" xfId="5" applyFont="1" applyFill="1" applyBorder="1" applyAlignment="1">
      <alignment horizontal="left" vertical="top" wrapText="1"/>
    </xf>
    <xf numFmtId="166" fontId="8" fillId="2" borderId="1" xfId="6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5" applyFont="1" applyFill="1" applyBorder="1" applyAlignment="1">
      <alignment horizontal="left" vertical="top" wrapText="1"/>
    </xf>
    <xf numFmtId="168" fontId="8" fillId="2" borderId="1" xfId="0" applyNumberFormat="1" applyFont="1" applyFill="1" applyBorder="1" applyAlignment="1">
      <alignment horizontal="right" vertical="top"/>
    </xf>
    <xf numFmtId="0" fontId="8" fillId="2" borderId="1" xfId="5" applyFont="1" applyFill="1" applyBorder="1" applyAlignment="1">
      <alignment horizontal="center" vertical="top" wrapText="1"/>
    </xf>
    <xf numFmtId="0" fontId="8" fillId="2" borderId="1" xfId="5" applyFont="1" applyFill="1" applyBorder="1" applyAlignment="1">
      <alignment horizontal="right" vertical="top" wrapText="1"/>
    </xf>
    <xf numFmtId="167" fontId="8" fillId="2" borderId="1" xfId="6" applyNumberFormat="1" applyFont="1" applyFill="1" applyBorder="1" applyAlignment="1">
      <alignment horizontal="right" vertical="top"/>
    </xf>
    <xf numFmtId="164" fontId="9" fillId="2" borderId="1" xfId="2" applyFont="1" applyFill="1" applyBorder="1" applyAlignment="1">
      <alignment horizontal="right" vertical="center"/>
    </xf>
    <xf numFmtId="164" fontId="9" fillId="0" borderId="1" xfId="2" applyFont="1" applyFill="1" applyBorder="1" applyAlignment="1">
      <alignment horizontal="right" vertical="center"/>
    </xf>
    <xf numFmtId="167" fontId="9" fillId="2" borderId="1" xfId="6" applyNumberFormat="1" applyFont="1" applyFill="1" applyBorder="1" applyAlignment="1">
      <alignment horizontal="right" vertical="center"/>
    </xf>
    <xf numFmtId="168" fontId="9" fillId="2" borderId="1" xfId="0" applyNumberFormat="1" applyFont="1" applyFill="1" applyBorder="1" applyAlignment="1">
      <alignment vertical="center"/>
    </xf>
    <xf numFmtId="168" fontId="20" fillId="2" borderId="1" xfId="0" applyNumberFormat="1" applyFont="1" applyFill="1" applyBorder="1" applyAlignment="1">
      <alignment vertical="center"/>
    </xf>
    <xf numFmtId="168" fontId="20" fillId="2" borderId="1" xfId="1" applyNumberFormat="1" applyFont="1" applyFill="1" applyBorder="1" applyAlignment="1">
      <alignment vertical="center"/>
    </xf>
    <xf numFmtId="165" fontId="8" fillId="2" borderId="1" xfId="1" applyNumberFormat="1" applyFont="1" applyFill="1" applyBorder="1" applyAlignment="1">
      <alignment horizontal="center" vertical="top"/>
    </xf>
    <xf numFmtId="0" fontId="8" fillId="2" borderId="1" xfId="3" applyFont="1" applyFill="1" applyBorder="1" applyAlignment="1">
      <alignment vertical="top" wrapText="1"/>
    </xf>
    <xf numFmtId="164" fontId="8" fillId="2" borderId="1" xfId="2" applyFont="1" applyFill="1" applyBorder="1" applyAlignment="1">
      <alignment horizontal="right" vertical="top" wrapText="1"/>
    </xf>
    <xf numFmtId="1" fontId="8" fillId="2" borderId="1" xfId="0" applyNumberFormat="1" applyFont="1" applyFill="1" applyBorder="1" applyAlignment="1">
      <alignment vertical="top"/>
    </xf>
    <xf numFmtId="1" fontId="8" fillId="2" borderId="1" xfId="0" applyNumberFormat="1" applyFont="1" applyFill="1" applyBorder="1" applyAlignment="1">
      <alignment horizontal="right" vertical="top"/>
    </xf>
    <xf numFmtId="9" fontId="8" fillId="2" borderId="1" xfId="3" applyNumberFormat="1" applyFont="1" applyFill="1" applyBorder="1" applyAlignment="1">
      <alignment vertical="top" wrapText="1"/>
    </xf>
    <xf numFmtId="164" fontId="8" fillId="0" borderId="1" xfId="2" applyFont="1" applyFill="1" applyBorder="1" applyAlignment="1">
      <alignment vertical="top" wrapText="1"/>
    </xf>
    <xf numFmtId="9" fontId="8" fillId="0" borderId="1" xfId="3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right" vertical="top"/>
    </xf>
    <xf numFmtId="168" fontId="19" fillId="2" borderId="1" xfId="0" applyNumberFormat="1" applyFont="1" applyFill="1" applyBorder="1" applyAlignment="1">
      <alignment vertical="top"/>
    </xf>
    <xf numFmtId="9" fontId="19" fillId="2" borderId="1" xfId="11" applyFont="1" applyFill="1" applyBorder="1" applyAlignment="1">
      <alignment horizontal="center" vertical="top"/>
    </xf>
    <xf numFmtId="164" fontId="8" fillId="2" borderId="1" xfId="2" applyFont="1" applyFill="1" applyBorder="1" applyAlignment="1">
      <alignment vertical="top" wrapText="1"/>
    </xf>
    <xf numFmtId="168" fontId="19" fillId="2" borderId="1" xfId="1" applyNumberFormat="1" applyFont="1" applyFill="1" applyBorder="1" applyAlignment="1">
      <alignment vertical="top"/>
    </xf>
    <xf numFmtId="0" fontId="8" fillId="2" borderId="1" xfId="8" applyFont="1" applyFill="1" applyBorder="1" applyAlignment="1">
      <alignment horizontal="left" vertical="top" wrapText="1"/>
    </xf>
    <xf numFmtId="164" fontId="8" fillId="2" borderId="1" xfId="12" applyFont="1" applyFill="1" applyBorder="1" applyAlignment="1">
      <alignment vertical="top"/>
    </xf>
    <xf numFmtId="164" fontId="9" fillId="0" borderId="1" xfId="5" applyNumberFormat="1" applyFont="1" applyFill="1" applyBorder="1" applyAlignment="1">
      <alignment vertical="center"/>
    </xf>
    <xf numFmtId="164" fontId="9" fillId="2" borderId="1" xfId="5" applyNumberFormat="1" applyFont="1" applyFill="1" applyBorder="1" applyAlignment="1">
      <alignment vertical="center"/>
    </xf>
    <xf numFmtId="0" fontId="9" fillId="2" borderId="1" xfId="0" quotePrefix="1" applyFont="1" applyFill="1" applyBorder="1" applyAlignment="1">
      <alignment horizontal="center" vertical="top"/>
    </xf>
    <xf numFmtId="0" fontId="9" fillId="2" borderId="1" xfId="5" applyFont="1" applyFill="1" applyBorder="1" applyAlignment="1">
      <alignment horizontal="left" vertical="center"/>
    </xf>
    <xf numFmtId="0" fontId="9" fillId="2" borderId="1" xfId="5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top"/>
    </xf>
    <xf numFmtId="0" fontId="15" fillId="0" borderId="2" xfId="13" applyFont="1" applyBorder="1" applyAlignment="1">
      <alignment wrapText="1"/>
    </xf>
    <xf numFmtId="0" fontId="13" fillId="0" borderId="6" xfId="13" applyFont="1" applyBorder="1"/>
    <xf numFmtId="0" fontId="13" fillId="0" borderId="6" xfId="13" applyFont="1" applyBorder="1" applyAlignment="1">
      <alignment wrapText="1"/>
    </xf>
    <xf numFmtId="3" fontId="13" fillId="2" borderId="6" xfId="13" applyNumberFormat="1" applyFont="1" applyFill="1" applyBorder="1"/>
    <xf numFmtId="3" fontId="13" fillId="0" borderId="6" xfId="13" applyNumberFormat="1" applyFont="1" applyBorder="1"/>
    <xf numFmtId="0" fontId="13" fillId="2" borderId="2" xfId="0" applyFont="1" applyFill="1" applyBorder="1" applyAlignment="1">
      <alignment vertical="top" wrapText="1"/>
    </xf>
    <xf numFmtId="0" fontId="8" fillId="2" borderId="1" xfId="0" quotePrefix="1" applyFont="1" applyFill="1" applyBorder="1" applyAlignment="1">
      <alignment horizontal="center" vertical="top"/>
    </xf>
    <xf numFmtId="0" fontId="8" fillId="0" borderId="1" xfId="0" quotePrefix="1" applyFont="1" applyFill="1" applyBorder="1" applyAlignment="1">
      <alignment horizontal="center" vertical="top"/>
    </xf>
    <xf numFmtId="0" fontId="9" fillId="2" borderId="1" xfId="5" applyFont="1" applyFill="1" applyBorder="1" applyAlignment="1">
      <alignment horizontal="center" vertical="center"/>
    </xf>
    <xf numFmtId="165" fontId="13" fillId="0" borderId="2" xfId="13" applyNumberFormat="1" applyFont="1" applyBorder="1" applyAlignment="1">
      <alignment vertical="top"/>
    </xf>
    <xf numFmtId="0" fontId="13" fillId="0" borderId="2" xfId="13" quotePrefix="1" applyFont="1" applyBorder="1" applyAlignment="1">
      <alignment vertical="top"/>
    </xf>
    <xf numFmtId="3" fontId="13" fillId="0" borderId="2" xfId="13" applyNumberFormat="1" applyFont="1" applyBorder="1" applyAlignment="1">
      <alignment vertical="top"/>
    </xf>
    <xf numFmtId="165" fontId="16" fillId="0" borderId="2" xfId="1" applyFont="1" applyFill="1" applyBorder="1" applyAlignment="1">
      <alignment vertical="top"/>
    </xf>
    <xf numFmtId="3" fontId="13" fillId="2" borderId="2" xfId="13" applyNumberFormat="1" applyFont="1" applyFill="1" applyBorder="1" applyAlignment="1">
      <alignment vertical="top"/>
    </xf>
    <xf numFmtId="10" fontId="15" fillId="0" borderId="2" xfId="13" applyNumberFormat="1" applyFont="1" applyFill="1" applyBorder="1" applyAlignment="1">
      <alignment vertical="top"/>
    </xf>
    <xf numFmtId="0" fontId="14" fillId="0" borderId="2" xfId="13" applyFont="1" applyBorder="1" applyAlignment="1">
      <alignment vertical="top"/>
    </xf>
    <xf numFmtId="3" fontId="14" fillId="0" borderId="2" xfId="13" applyNumberFormat="1" applyFont="1" applyBorder="1" applyAlignment="1">
      <alignment vertical="top"/>
    </xf>
    <xf numFmtId="165" fontId="15" fillId="0" borderId="2" xfId="1" applyFont="1" applyFill="1" applyBorder="1" applyAlignment="1">
      <alignment vertical="top"/>
    </xf>
    <xf numFmtId="10" fontId="37" fillId="0" borderId="2" xfId="13" applyNumberFormat="1" applyFont="1" applyFill="1" applyBorder="1" applyAlignment="1">
      <alignment vertical="top"/>
    </xf>
    <xf numFmtId="0" fontId="37" fillId="0" borderId="2" xfId="13" applyFont="1" applyBorder="1" applyAlignment="1">
      <alignment vertical="top"/>
    </xf>
    <xf numFmtId="3" fontId="15" fillId="0" borderId="2" xfId="13" applyNumberFormat="1" applyFont="1" applyBorder="1" applyAlignment="1">
      <alignment vertical="top"/>
    </xf>
    <xf numFmtId="3" fontId="15" fillId="2" borderId="2" xfId="13" applyNumberFormat="1" applyFont="1" applyFill="1" applyBorder="1" applyAlignment="1">
      <alignment vertical="top"/>
    </xf>
    <xf numFmtId="0" fontId="16" fillId="0" borderId="2" xfId="13" quotePrefix="1" applyFont="1" applyBorder="1" applyAlignment="1">
      <alignment vertical="top"/>
    </xf>
    <xf numFmtId="165" fontId="16" fillId="0" borderId="2" xfId="13" applyNumberFormat="1" applyFont="1" applyBorder="1" applyAlignment="1">
      <alignment vertical="top"/>
    </xf>
    <xf numFmtId="0" fontId="40" fillId="2" borderId="0" xfId="0" applyFont="1" applyFill="1" applyAlignment="1">
      <alignment horizontal="left" vertical="top"/>
    </xf>
    <xf numFmtId="0" fontId="38" fillId="2" borderId="1" xfId="4" applyFont="1" applyFill="1" applyBorder="1" applyAlignment="1">
      <alignment vertical="top" wrapText="1"/>
    </xf>
    <xf numFmtId="0" fontId="40" fillId="2" borderId="1" xfId="0" applyFont="1" applyFill="1" applyBorder="1" applyAlignment="1">
      <alignment vertical="top"/>
    </xf>
    <xf numFmtId="0" fontId="40" fillId="2" borderId="1" xfId="3" applyFont="1" applyFill="1" applyBorder="1" applyAlignment="1">
      <alignment horizontal="left" vertical="top" wrapText="1"/>
    </xf>
    <xf numFmtId="0" fontId="40" fillId="2" borderId="1" xfId="4" applyFont="1" applyFill="1" applyBorder="1" applyAlignment="1">
      <alignment horizontal="left" vertical="top" wrapText="1"/>
    </xf>
    <xf numFmtId="0" fontId="38" fillId="2" borderId="1" xfId="3" applyFont="1" applyFill="1" applyBorder="1" applyAlignment="1">
      <alignment horizontal="left" vertical="top" wrapText="1"/>
    </xf>
    <xf numFmtId="0" fontId="38" fillId="2" borderId="1" xfId="4" applyFont="1" applyFill="1" applyBorder="1" applyAlignment="1">
      <alignment horizontal="left" vertical="top" wrapText="1"/>
    </xf>
    <xf numFmtId="0" fontId="40" fillId="2" borderId="1" xfId="4" applyFont="1" applyFill="1" applyBorder="1" applyAlignment="1">
      <alignment vertical="top" wrapText="1"/>
    </xf>
    <xf numFmtId="0" fontId="40" fillId="0" borderId="1" xfId="3" applyFont="1" applyBorder="1" applyAlignment="1">
      <alignment horizontal="left" vertical="top" wrapText="1"/>
    </xf>
    <xf numFmtId="0" fontId="40" fillId="2" borderId="1" xfId="4" applyNumberFormat="1" applyFont="1" applyFill="1" applyBorder="1" applyAlignment="1">
      <alignment vertical="top" wrapText="1"/>
    </xf>
    <xf numFmtId="0" fontId="43" fillId="2" borderId="1" xfId="0" applyFont="1" applyFill="1" applyBorder="1" applyAlignment="1">
      <alignment vertical="top" wrapText="1"/>
    </xf>
    <xf numFmtId="0" fontId="42" fillId="0" borderId="1" xfId="0" applyFont="1" applyBorder="1" applyAlignment="1">
      <alignment vertical="top"/>
    </xf>
    <xf numFmtId="0" fontId="40" fillId="2" borderId="0" xfId="0" applyFont="1" applyFill="1" applyAlignment="1">
      <alignment horizontal="right" vertical="top" wrapText="1"/>
    </xf>
    <xf numFmtId="0" fontId="40" fillId="2" borderId="0" xfId="0" applyFont="1" applyFill="1"/>
    <xf numFmtId="0" fontId="40" fillId="0" borderId="0" xfId="0" applyFont="1" applyFill="1" applyAlignment="1">
      <alignment wrapText="1"/>
    </xf>
    <xf numFmtId="0" fontId="40" fillId="0" borderId="0" xfId="0" applyFont="1" applyFill="1"/>
    <xf numFmtId="164" fontId="40" fillId="2" borderId="0" xfId="2" applyFont="1" applyFill="1"/>
    <xf numFmtId="168" fontId="40" fillId="2" borderId="0" xfId="1" applyNumberFormat="1" applyFont="1" applyFill="1"/>
    <xf numFmtId="0" fontId="40" fillId="2" borderId="0" xfId="0" applyFont="1" applyFill="1" applyAlignment="1">
      <alignment horizontal="right"/>
    </xf>
    <xf numFmtId="0" fontId="44" fillId="2" borderId="0" xfId="0" applyFont="1" applyFill="1"/>
    <xf numFmtId="0" fontId="44" fillId="2" borderId="0" xfId="0" applyFont="1" applyFill="1" applyAlignment="1">
      <alignment vertical="top" wrapText="1"/>
    </xf>
    <xf numFmtId="164" fontId="40" fillId="0" borderId="0" xfId="0" applyNumberFormat="1" applyFont="1" applyFill="1"/>
    <xf numFmtId="164" fontId="40" fillId="0" borderId="0" xfId="2" applyFont="1" applyFill="1"/>
    <xf numFmtId="0" fontId="9" fillId="2" borderId="1" xfId="0" quotePrefix="1" applyFont="1" applyFill="1" applyBorder="1" applyAlignment="1">
      <alignment horizontal="center" vertical="top"/>
    </xf>
    <xf numFmtId="0" fontId="40" fillId="2" borderId="0" xfId="0" applyFont="1" applyFill="1" applyAlignment="1">
      <alignment horizontal="left"/>
    </xf>
    <xf numFmtId="0" fontId="42" fillId="2" borderId="1" xfId="0" applyFont="1" applyFill="1" applyBorder="1" applyAlignment="1">
      <alignment vertical="top" wrapText="1"/>
    </xf>
    <xf numFmtId="0" fontId="8" fillId="2" borderId="2" xfId="4" applyFont="1" applyFill="1" applyBorder="1" applyAlignment="1">
      <alignment vertical="top" wrapText="1"/>
    </xf>
    <xf numFmtId="0" fontId="8" fillId="2" borderId="2" xfId="3" applyFont="1" applyFill="1" applyBorder="1" applyAlignment="1">
      <alignment horizontal="left" vertical="top" wrapText="1"/>
    </xf>
    <xf numFmtId="164" fontId="8" fillId="2" borderId="7" xfId="2" applyFont="1" applyFill="1" applyBorder="1" applyAlignment="1">
      <alignment vertical="top" wrapText="1"/>
    </xf>
    <xf numFmtId="0" fontId="40" fillId="2" borderId="1" xfId="0" quotePrefix="1" applyFont="1" applyFill="1" applyBorder="1" applyAlignment="1">
      <alignment horizontal="left" vertical="top" wrapText="1"/>
    </xf>
    <xf numFmtId="0" fontId="8" fillId="2" borderId="2" xfId="8" quotePrefix="1" applyFont="1" applyFill="1" applyBorder="1" applyAlignment="1">
      <alignment horizontal="left" vertical="top" wrapText="1"/>
    </xf>
    <xf numFmtId="0" fontId="40" fillId="2" borderId="2" xfId="4" applyFont="1" applyFill="1" applyBorder="1" applyAlignment="1">
      <alignment vertical="top" wrapText="1"/>
    </xf>
    <xf numFmtId="164" fontId="47" fillId="0" borderId="1" xfId="0" applyNumberFormat="1" applyFont="1" applyFill="1" applyBorder="1" applyAlignment="1">
      <alignment horizontal="right" vertical="top"/>
    </xf>
    <xf numFmtId="0" fontId="19" fillId="0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right" vertical="top"/>
    </xf>
    <xf numFmtId="164" fontId="19" fillId="2" borderId="23" xfId="2" applyFont="1" applyFill="1" applyBorder="1" applyAlignment="1">
      <alignment vertical="top"/>
    </xf>
    <xf numFmtId="0" fontId="20" fillId="2" borderId="1" xfId="5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left" vertical="center" wrapText="1"/>
    </xf>
    <xf numFmtId="168" fontId="44" fillId="2" borderId="0" xfId="0" applyNumberFormat="1" applyFont="1" applyFill="1"/>
    <xf numFmtId="168" fontId="20" fillId="2" borderId="1" xfId="11" applyNumberFormat="1" applyFont="1" applyFill="1" applyBorder="1" applyAlignment="1">
      <alignment horizontal="center" vertical="top"/>
    </xf>
    <xf numFmtId="168" fontId="44" fillId="2" borderId="0" xfId="1" applyNumberFormat="1" applyFont="1" applyFill="1"/>
    <xf numFmtId="0" fontId="8" fillId="0" borderId="1" xfId="0" applyFont="1" applyFill="1" applyBorder="1" applyAlignment="1">
      <alignment horizontal="center" vertical="top" wrapText="1"/>
    </xf>
    <xf numFmtId="0" fontId="8" fillId="0" borderId="1" xfId="5" applyFont="1" applyFill="1" applyBorder="1" applyAlignment="1">
      <alignment horizontal="center" vertical="top" wrapText="1"/>
    </xf>
    <xf numFmtId="0" fontId="40" fillId="2" borderId="0" xfId="0" applyFont="1" applyFill="1" applyAlignment="1">
      <alignment vertical="top" wrapText="1"/>
    </xf>
    <xf numFmtId="164" fontId="8" fillId="2" borderId="23" xfId="2" applyFont="1" applyFill="1" applyBorder="1" applyAlignment="1">
      <alignment vertical="top" wrapText="1"/>
    </xf>
    <xf numFmtId="0" fontId="8" fillId="2" borderId="1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top"/>
    </xf>
    <xf numFmtId="168" fontId="19" fillId="2" borderId="0" xfId="1" applyNumberFormat="1" applyFont="1" applyFill="1"/>
    <xf numFmtId="168" fontId="20" fillId="2" borderId="1" xfId="1" applyNumberFormat="1" applyFont="1" applyFill="1" applyBorder="1" applyAlignment="1">
      <alignment horizontal="right" vertical="top"/>
    </xf>
    <xf numFmtId="164" fontId="20" fillId="2" borderId="1" xfId="5" applyNumberFormat="1" applyFont="1" applyFill="1" applyBorder="1" applyAlignment="1">
      <alignment vertical="center"/>
    </xf>
    <xf numFmtId="9" fontId="8" fillId="0" borderId="1" xfId="3" applyNumberFormat="1" applyFont="1" applyFill="1" applyBorder="1" applyAlignment="1">
      <alignment horizontal="center" vertical="top" wrapText="1"/>
    </xf>
    <xf numFmtId="168" fontId="8" fillId="2" borderId="1" xfId="1" applyNumberFormat="1" applyFont="1" applyFill="1" applyBorder="1" applyAlignment="1">
      <alignment horizontal="right" vertical="top"/>
    </xf>
    <xf numFmtId="164" fontId="8" fillId="2" borderId="23" xfId="2" applyFont="1" applyFill="1" applyBorder="1" applyAlignment="1">
      <alignment horizontal="center" vertical="top" wrapText="1"/>
    </xf>
    <xf numFmtId="168" fontId="8" fillId="2" borderId="1" xfId="0" applyNumberFormat="1" applyFont="1" applyFill="1" applyBorder="1" applyAlignment="1">
      <alignment horizontal="center" vertical="top"/>
    </xf>
    <xf numFmtId="168" fontId="8" fillId="2" borderId="1" xfId="0" applyNumberFormat="1" applyFont="1" applyFill="1" applyBorder="1" applyAlignment="1">
      <alignment horizontal="center" vertical="top" wrapText="1"/>
    </xf>
    <xf numFmtId="9" fontId="8" fillId="2" borderId="1" xfId="0" applyNumberFormat="1" applyFont="1" applyFill="1" applyBorder="1" applyAlignment="1">
      <alignment horizontal="center" vertical="top"/>
    </xf>
    <xf numFmtId="9" fontId="8" fillId="2" borderId="1" xfId="11" applyFont="1" applyFill="1" applyBorder="1" applyAlignment="1">
      <alignment horizontal="center" vertical="top"/>
    </xf>
    <xf numFmtId="168" fontId="8" fillId="2" borderId="1" xfId="1" applyNumberFormat="1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 vertical="center"/>
    </xf>
    <xf numFmtId="3" fontId="36" fillId="2" borderId="2" xfId="13" applyNumberFormat="1" applyFont="1" applyFill="1" applyBorder="1" applyAlignment="1">
      <alignment vertical="top"/>
    </xf>
    <xf numFmtId="3" fontId="13" fillId="0" borderId="23" xfId="13" applyNumberFormat="1" applyFont="1" applyBorder="1" applyAlignment="1">
      <alignment vertical="top"/>
    </xf>
    <xf numFmtId="0" fontId="40" fillId="0" borderId="18" xfId="3" applyFont="1" applyBorder="1" applyAlignment="1">
      <alignment horizontal="left" vertical="top" wrapText="1"/>
    </xf>
    <xf numFmtId="0" fontId="40" fillId="2" borderId="18" xfId="4" applyFont="1" applyFill="1" applyBorder="1" applyAlignment="1">
      <alignment vertical="top" wrapText="1"/>
    </xf>
    <xf numFmtId="0" fontId="40" fillId="2" borderId="9" xfId="4" applyFont="1" applyFill="1" applyBorder="1" applyAlignment="1">
      <alignment vertical="top" wrapText="1"/>
    </xf>
    <xf numFmtId="0" fontId="42" fillId="0" borderId="18" xfId="0" applyFont="1" applyBorder="1" applyAlignment="1">
      <alignment vertical="top" wrapText="1"/>
    </xf>
    <xf numFmtId="0" fontId="8" fillId="2" borderId="10" xfId="3" applyFont="1" applyFill="1" applyBorder="1" applyAlignment="1">
      <alignment vertical="top" wrapText="1"/>
    </xf>
    <xf numFmtId="164" fontId="8" fillId="2" borderId="10" xfId="2" applyFont="1" applyFill="1" applyBorder="1" applyAlignment="1">
      <alignment horizontal="right" vertical="top" wrapText="1"/>
    </xf>
    <xf numFmtId="0" fontId="8" fillId="2" borderId="10" xfId="5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vertical="top"/>
    </xf>
    <xf numFmtId="0" fontId="21" fillId="6" borderId="1" xfId="0" applyFont="1" applyFill="1" applyBorder="1" applyAlignment="1">
      <alignment horizontal="left" vertical="top"/>
    </xf>
    <xf numFmtId="3" fontId="21" fillId="6" borderId="1" xfId="0" applyNumberFormat="1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center" wrapText="1"/>
    </xf>
    <xf numFmtId="0" fontId="13" fillId="0" borderId="0" xfId="29" applyFont="1" applyAlignment="1">
      <alignment horizontal="center"/>
    </xf>
    <xf numFmtId="0" fontId="23" fillId="0" borderId="1" xfId="27" applyFont="1" applyBorder="1" applyAlignment="1">
      <alignment horizontal="center" vertical="center" wrapText="1"/>
    </xf>
    <xf numFmtId="0" fontId="23" fillId="0" borderId="18" xfId="27" applyFont="1" applyBorder="1" applyAlignment="1">
      <alignment horizontal="center" vertical="center" wrapText="1"/>
    </xf>
    <xf numFmtId="0" fontId="23" fillId="0" borderId="20" xfId="27" applyFont="1" applyBorder="1" applyAlignment="1">
      <alignment horizontal="center" vertical="center" wrapText="1"/>
    </xf>
    <xf numFmtId="0" fontId="23" fillId="0" borderId="19" xfId="27" applyFont="1" applyBorder="1" applyAlignment="1">
      <alignment horizontal="center" vertical="center" wrapText="1"/>
    </xf>
    <xf numFmtId="0" fontId="0" fillId="0" borderId="0" xfId="27" applyFont="1" applyAlignment="1">
      <alignment horizontal="center"/>
    </xf>
    <xf numFmtId="0" fontId="2" fillId="0" borderId="0" xfId="27" applyAlignment="1">
      <alignment horizontal="center"/>
    </xf>
    <xf numFmtId="0" fontId="23" fillId="0" borderId="12" xfId="27" applyFont="1" applyBorder="1" applyAlignment="1">
      <alignment horizontal="center" vertical="center" wrapText="1"/>
    </xf>
    <xf numFmtId="0" fontId="23" fillId="0" borderId="21" xfId="27" applyFont="1" applyBorder="1" applyAlignment="1">
      <alignment horizontal="center" vertical="center" wrapText="1"/>
    </xf>
    <xf numFmtId="0" fontId="23" fillId="0" borderId="13" xfId="27" applyFont="1" applyBorder="1" applyAlignment="1">
      <alignment horizontal="center" vertical="center" wrapText="1"/>
    </xf>
    <xf numFmtId="0" fontId="23" fillId="0" borderId="16" xfId="27" applyFont="1" applyBorder="1" applyAlignment="1">
      <alignment horizontal="center" vertical="center" wrapText="1"/>
    </xf>
    <xf numFmtId="0" fontId="23" fillId="0" borderId="22" xfId="27" applyFont="1" applyBorder="1" applyAlignment="1">
      <alignment horizontal="center" vertical="center" wrapText="1"/>
    </xf>
    <xf numFmtId="0" fontId="23" fillId="0" borderId="17" xfId="27" applyFont="1" applyBorder="1" applyAlignment="1">
      <alignment horizontal="center" vertical="center" wrapText="1"/>
    </xf>
    <xf numFmtId="0" fontId="23" fillId="0" borderId="1" xfId="27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18" xfId="5" applyFont="1" applyBorder="1" applyAlignment="1">
      <alignment horizontal="left" vertical="center"/>
    </xf>
    <xf numFmtId="0" fontId="9" fillId="0" borderId="20" xfId="5" applyFont="1" applyBorder="1" applyAlignment="1">
      <alignment horizontal="left" vertical="center"/>
    </xf>
    <xf numFmtId="0" fontId="9" fillId="0" borderId="19" xfId="5" applyFont="1" applyBorder="1" applyAlignment="1">
      <alignment horizontal="left" vertical="center"/>
    </xf>
    <xf numFmtId="0" fontId="9" fillId="0" borderId="18" xfId="0" applyFont="1" applyBorder="1" applyAlignment="1">
      <alignment horizontal="right" vertical="top"/>
    </xf>
    <xf numFmtId="0" fontId="9" fillId="0" borderId="20" xfId="0" applyFont="1" applyBorder="1" applyAlignment="1">
      <alignment horizontal="right" vertical="top"/>
    </xf>
    <xf numFmtId="0" fontId="9" fillId="0" borderId="19" xfId="0" applyFont="1" applyBorder="1" applyAlignment="1">
      <alignment horizontal="right" vertical="top"/>
    </xf>
    <xf numFmtId="0" fontId="9" fillId="0" borderId="22" xfId="0" applyFont="1" applyBorder="1" applyAlignment="1">
      <alignment horizontal="right" vertical="top"/>
    </xf>
    <xf numFmtId="0" fontId="8" fillId="0" borderId="0" xfId="0" applyFont="1" applyAlignment="1">
      <alignment horizontal="center" vertical="top" wrapText="1"/>
    </xf>
    <xf numFmtId="0" fontId="9" fillId="0" borderId="18" xfId="5" applyFont="1" applyBorder="1" applyAlignment="1">
      <alignment horizontal="right" vertical="center" wrapText="1"/>
    </xf>
    <xf numFmtId="0" fontId="9" fillId="0" borderId="20" xfId="5" applyFont="1" applyBorder="1" applyAlignment="1">
      <alignment horizontal="right" vertical="center" wrapText="1"/>
    </xf>
    <xf numFmtId="0" fontId="9" fillId="0" borderId="19" xfId="5" applyFont="1" applyBorder="1" applyAlignment="1">
      <alignment horizontal="righ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2" borderId="18" xfId="5" applyFont="1" applyFill="1" applyBorder="1" applyAlignment="1">
      <alignment horizontal="right" vertical="center" wrapText="1"/>
    </xf>
    <xf numFmtId="0" fontId="9" fillId="2" borderId="20" xfId="5" applyFont="1" applyFill="1" applyBorder="1" applyAlignment="1">
      <alignment horizontal="right" vertical="center" wrapText="1"/>
    </xf>
    <xf numFmtId="0" fontId="9" fillId="2" borderId="19" xfId="5" applyFont="1" applyFill="1" applyBorder="1" applyAlignment="1">
      <alignment horizontal="right" vertical="center" wrapText="1"/>
    </xf>
    <xf numFmtId="0" fontId="40" fillId="2" borderId="18" xfId="0" applyFont="1" applyFill="1" applyBorder="1" applyAlignment="1">
      <alignment horizontal="left" vertical="center" wrapText="1"/>
    </xf>
    <xf numFmtId="0" fontId="40" fillId="2" borderId="20" xfId="0" applyFont="1" applyFill="1" applyBorder="1" applyAlignment="1">
      <alignment horizontal="left" vertical="center" wrapText="1"/>
    </xf>
    <xf numFmtId="0" fontId="40" fillId="2" borderId="19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right" vertical="top"/>
    </xf>
    <xf numFmtId="0" fontId="9" fillId="2" borderId="20" xfId="0" applyFont="1" applyFill="1" applyBorder="1" applyAlignment="1">
      <alignment horizontal="right" vertical="top"/>
    </xf>
    <xf numFmtId="0" fontId="9" fillId="2" borderId="19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right" vertical="top"/>
    </xf>
    <xf numFmtId="0" fontId="40" fillId="2" borderId="18" xfId="0" applyFont="1" applyFill="1" applyBorder="1" applyAlignment="1">
      <alignment horizontal="left" vertical="center"/>
    </xf>
    <xf numFmtId="0" fontId="40" fillId="2" borderId="20" xfId="0" applyFont="1" applyFill="1" applyBorder="1" applyAlignment="1">
      <alignment horizontal="left" vertical="center"/>
    </xf>
    <xf numFmtId="0" fontId="40" fillId="2" borderId="1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right" vertical="top" indent="1"/>
    </xf>
    <xf numFmtId="0" fontId="9" fillId="2" borderId="20" xfId="0" applyFont="1" applyFill="1" applyBorder="1" applyAlignment="1">
      <alignment horizontal="right" vertical="top" indent="1"/>
    </xf>
    <xf numFmtId="0" fontId="9" fillId="2" borderId="19" xfId="0" applyFont="1" applyFill="1" applyBorder="1" applyAlignment="1">
      <alignment horizontal="right" vertical="top" indent="1"/>
    </xf>
    <xf numFmtId="0" fontId="9" fillId="2" borderId="1" xfId="0" quotePrefix="1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left" vertical="top" wrapText="1"/>
    </xf>
    <xf numFmtId="0" fontId="40" fillId="2" borderId="0" xfId="0" applyFont="1" applyFill="1" applyAlignment="1">
      <alignment horizontal="center" vertical="top" wrapText="1"/>
    </xf>
    <xf numFmtId="0" fontId="40" fillId="2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0" fontId="45" fillId="2" borderId="0" xfId="0" applyFont="1" applyFill="1" applyAlignment="1">
      <alignment horizontal="center" vertical="top" wrapText="1"/>
    </xf>
    <xf numFmtId="0" fontId="44" fillId="2" borderId="0" xfId="0" applyFont="1" applyFill="1" applyAlignment="1">
      <alignment horizontal="center"/>
    </xf>
    <xf numFmtId="0" fontId="13" fillId="0" borderId="0" xfId="13" applyFont="1" applyAlignment="1">
      <alignment horizontal="center"/>
    </xf>
    <xf numFmtId="0" fontId="24" fillId="0" borderId="0" xfId="13" applyFont="1" applyAlignment="1">
      <alignment horizontal="left"/>
    </xf>
    <xf numFmtId="0" fontId="17" fillId="0" borderId="1" xfId="13" applyFont="1" applyBorder="1" applyAlignment="1">
      <alignment horizontal="center" vertical="center"/>
    </xf>
    <xf numFmtId="0" fontId="14" fillId="0" borderId="0" xfId="13" applyFont="1" applyAlignment="1">
      <alignment horizontal="center"/>
    </xf>
    <xf numFmtId="0" fontId="14" fillId="0" borderId="1" xfId="13" applyFont="1" applyBorder="1" applyAlignment="1">
      <alignment horizontal="center" vertical="center"/>
    </xf>
    <xf numFmtId="0" fontId="14" fillId="0" borderId="1" xfId="13" applyFont="1" applyBorder="1" applyAlignment="1">
      <alignment horizontal="center" vertical="center" wrapText="1"/>
    </xf>
    <xf numFmtId="0" fontId="14" fillId="2" borderId="1" xfId="13" applyFont="1" applyFill="1" applyBorder="1" applyAlignment="1">
      <alignment horizontal="center" vertical="center" wrapText="1"/>
    </xf>
    <xf numFmtId="0" fontId="14" fillId="0" borderId="18" xfId="13" applyFont="1" applyBorder="1" applyAlignment="1">
      <alignment horizontal="center" vertical="center" wrapText="1"/>
    </xf>
    <xf numFmtId="0" fontId="14" fillId="0" borderId="20" xfId="13" applyFont="1" applyBorder="1" applyAlignment="1">
      <alignment horizontal="center" vertical="center" wrapText="1"/>
    </xf>
    <xf numFmtId="0" fontId="14" fillId="0" borderId="19" xfId="13" applyFont="1" applyBorder="1" applyAlignment="1">
      <alignment horizontal="center" vertical="center" wrapText="1"/>
    </xf>
    <xf numFmtId="0" fontId="13" fillId="0" borderId="2" xfId="13" applyFont="1" applyBorder="1" applyAlignment="1">
      <alignment horizontal="left" wrapText="1"/>
    </xf>
    <xf numFmtId="0" fontId="15" fillId="0" borderId="2" xfId="0" quotePrefix="1" applyFont="1" applyBorder="1" applyAlignment="1">
      <alignment horizontal="center" vertical="top"/>
    </xf>
    <xf numFmtId="165" fontId="13" fillId="0" borderId="2" xfId="13" applyNumberFormat="1" applyFont="1" applyBorder="1" applyAlignment="1">
      <alignment horizontal="center" vertical="top"/>
    </xf>
    <xf numFmtId="0" fontId="13" fillId="0" borderId="2" xfId="13" quotePrefix="1" applyFont="1" applyBorder="1" applyAlignment="1">
      <alignment horizontal="left" vertical="top"/>
    </xf>
    <xf numFmtId="3" fontId="13" fillId="0" borderId="2" xfId="13" applyNumberFormat="1" applyFont="1" applyBorder="1" applyAlignment="1">
      <alignment horizontal="right" vertical="top"/>
    </xf>
    <xf numFmtId="3" fontId="13" fillId="0" borderId="23" xfId="13" applyNumberFormat="1" applyFont="1" applyBorder="1" applyAlignment="1">
      <alignment horizontal="right" vertical="top"/>
    </xf>
    <xf numFmtId="3" fontId="13" fillId="0" borderId="4" xfId="13" applyNumberFormat="1" applyFont="1" applyBorder="1" applyAlignment="1">
      <alignment horizontal="right" vertical="top"/>
    </xf>
    <xf numFmtId="0" fontId="35" fillId="0" borderId="0" xfId="13" applyFont="1" applyAlignment="1">
      <alignment horizontal="left" wrapText="1"/>
    </xf>
    <xf numFmtId="165" fontId="16" fillId="0" borderId="2" xfId="1" applyFont="1" applyFill="1" applyBorder="1" applyAlignment="1">
      <alignment horizontal="right" vertical="top"/>
    </xf>
    <xf numFmtId="0" fontId="13" fillId="0" borderId="2" xfId="13" quotePrefix="1" applyFont="1" applyBorder="1" applyAlignment="1">
      <alignment horizontal="left" vertical="top" wrapText="1"/>
    </xf>
    <xf numFmtId="0" fontId="13" fillId="0" borderId="1" xfId="13" applyFont="1" applyBorder="1" applyAlignment="1">
      <alignment horizontal="center"/>
    </xf>
    <xf numFmtId="0" fontId="28" fillId="0" borderId="0" xfId="0" applyFont="1" applyFill="1" applyAlignment="1">
      <alignment horizont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</cellXfs>
  <cellStyles count="34">
    <cellStyle name="Comma" xfId="1" builtinId="3"/>
    <cellStyle name="Comma [0]" xfId="2" builtinId="6"/>
    <cellStyle name="Comma [0] 2" xfId="12" xr:uid="{00000000-0005-0000-0000-000002000000}"/>
    <cellStyle name="Comma [0] 2 2" xfId="14" xr:uid="{00000000-0005-0000-0000-000003000000}"/>
    <cellStyle name="Comma [0] 2 3" xfId="17" xr:uid="{00000000-0005-0000-0000-000004000000}"/>
    <cellStyle name="Comma [0] 2 4" xfId="33" xr:uid="{73AD2E3A-AEC4-4E6E-9E95-45B753B47312}"/>
    <cellStyle name="Comma [0] 3" xfId="16" xr:uid="{00000000-0005-0000-0000-000005000000}"/>
    <cellStyle name="Comma [0] 4" xfId="26" xr:uid="{00000000-0005-0000-0000-000006000000}"/>
    <cellStyle name="Comma [0] 4 2" xfId="28" xr:uid="{00000000-0005-0000-0000-000007000000}"/>
    <cellStyle name="Comma [0] 9" xfId="18" xr:uid="{00000000-0005-0000-0000-000008000000}"/>
    <cellStyle name="Comma 2" xfId="3" xr:uid="{00000000-0005-0000-0000-000009000000}"/>
    <cellStyle name="Comma 2 3" xfId="19" xr:uid="{00000000-0005-0000-0000-00000A000000}"/>
    <cellStyle name="Comma 3" xfId="4" xr:uid="{00000000-0005-0000-0000-00000B000000}"/>
    <cellStyle name="Comma 4" xfId="5" xr:uid="{00000000-0005-0000-0000-00000C000000}"/>
    <cellStyle name="Comma 5" xfId="6" xr:uid="{00000000-0005-0000-0000-00000D000000}"/>
    <cellStyle name="Comma 9" xfId="20" xr:uid="{00000000-0005-0000-0000-00000E000000}"/>
    <cellStyle name="Normal" xfId="0" builtinId="0"/>
    <cellStyle name="Normal 12" xfId="21" xr:uid="{00000000-0005-0000-0000-000010000000}"/>
    <cellStyle name="Normal 2" xfId="7" xr:uid="{00000000-0005-0000-0000-000011000000}"/>
    <cellStyle name="Normal 2 2" xfId="22" xr:uid="{00000000-0005-0000-0000-000012000000}"/>
    <cellStyle name="Normal 2 3" xfId="23" xr:uid="{00000000-0005-0000-0000-000013000000}"/>
    <cellStyle name="Normal 2 4" xfId="32" xr:uid="{B10AB7C6-4715-49CE-A129-B2956F08A273}"/>
    <cellStyle name="Normal 3" xfId="8" xr:uid="{00000000-0005-0000-0000-000014000000}"/>
    <cellStyle name="Normal 3 43" xfId="30" xr:uid="{00000000-0005-0000-0000-000015000000}"/>
    <cellStyle name="Normal 4" xfId="9" xr:uid="{00000000-0005-0000-0000-000016000000}"/>
    <cellStyle name="Normal 5" xfId="10" xr:uid="{00000000-0005-0000-0000-000017000000}"/>
    <cellStyle name="Normal 6" xfId="13" xr:uid="{00000000-0005-0000-0000-000018000000}"/>
    <cellStyle name="Normal 6 2" xfId="29" xr:uid="{00000000-0005-0000-0000-000019000000}"/>
    <cellStyle name="Normal 7" xfId="15" xr:uid="{00000000-0005-0000-0000-00001A000000}"/>
    <cellStyle name="Normal 8" xfId="25" xr:uid="{00000000-0005-0000-0000-00001B000000}"/>
    <cellStyle name="Normal 8 2" xfId="27" xr:uid="{00000000-0005-0000-0000-00001C000000}"/>
    <cellStyle name="Normal 9" xfId="31" xr:uid="{347146FF-3427-47DA-B311-3342FE822DE5}"/>
    <cellStyle name="Percent" xfId="11" builtinId="5"/>
    <cellStyle name="Percent 2" xfId="24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16</xdr:row>
      <xdr:rowOff>1</xdr:rowOff>
    </xdr:from>
    <xdr:to>
      <xdr:col>20</xdr:col>
      <xdr:colOff>790575</xdr:colOff>
      <xdr:row>23</xdr:row>
      <xdr:rowOff>114301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896725" y="8029576"/>
          <a:ext cx="2914650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000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Kepala Dinas Komunikasi dan Informatika</a:t>
          </a:r>
          <a:endParaRPr lang="id-ID" sz="1000">
            <a:solidFill>
              <a:schemeClr val="dk1"/>
            </a:solidFill>
            <a:latin typeface="Bookman Old Style" pitchFamily="18" charset="0"/>
            <a:ea typeface="+mn-ea"/>
            <a:cs typeface="+mn-cs"/>
          </a:endParaRPr>
        </a:p>
        <a:p>
          <a:pPr algn="ctr"/>
          <a:r>
            <a:rPr lang="en-US" sz="1000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Kabupaten Magelang</a:t>
          </a:r>
          <a:endParaRPr lang="id-ID" sz="1000">
            <a:solidFill>
              <a:schemeClr val="dk1"/>
            </a:solidFill>
            <a:latin typeface="Bookman Old Style" pitchFamily="18" charset="0"/>
            <a:ea typeface="+mn-ea"/>
            <a:cs typeface="+mn-cs"/>
          </a:endParaRPr>
        </a:p>
        <a:p>
          <a:pPr algn="ctr"/>
          <a:r>
            <a:rPr lang="id-ID" sz="1000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 </a:t>
          </a:r>
          <a:endParaRPr lang="id-ID" sz="1000">
            <a:latin typeface="Bookman Old Style" pitchFamily="18" charset="0"/>
          </a:endParaRPr>
        </a:p>
        <a:p>
          <a:pPr algn="ctr"/>
          <a:r>
            <a:rPr lang="id-ID" sz="1000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 </a:t>
          </a:r>
          <a:endParaRPr lang="id-ID" sz="1000">
            <a:latin typeface="Bookman Old Style" pitchFamily="18" charset="0"/>
          </a:endParaRPr>
        </a:p>
        <a:p>
          <a:pPr algn="ctr"/>
          <a:r>
            <a:rPr lang="en-US" sz="1000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 </a:t>
          </a:r>
          <a:endParaRPr lang="id-ID" sz="1000">
            <a:solidFill>
              <a:schemeClr val="dk1"/>
            </a:solidFill>
            <a:latin typeface="Bookman Old Style" pitchFamily="18" charset="0"/>
            <a:ea typeface="+mn-ea"/>
            <a:cs typeface="+mn-cs"/>
          </a:endParaRPr>
        </a:p>
        <a:p>
          <a:pPr algn="ctr"/>
          <a:r>
            <a:rPr lang="en-US" sz="1000" b="1" u="sng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Drs. DJANU TREPSILO, MM</a:t>
          </a:r>
          <a:endParaRPr lang="id-ID" sz="1000">
            <a:solidFill>
              <a:schemeClr val="dk1"/>
            </a:solidFill>
            <a:latin typeface="Bookman Old Style" pitchFamily="18" charset="0"/>
            <a:ea typeface="+mn-ea"/>
            <a:cs typeface="+mn-cs"/>
          </a:endParaRPr>
        </a:p>
        <a:p>
          <a:pPr algn="ctr"/>
          <a:r>
            <a:rPr lang="en-US" sz="1000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Pembina </a:t>
          </a:r>
          <a:r>
            <a:rPr lang="id-ID" sz="1000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Utama Muda</a:t>
          </a:r>
          <a:endParaRPr lang="id-ID" sz="1000">
            <a:latin typeface="Bookman Old Style" pitchFamily="18" charset="0"/>
          </a:endParaRPr>
        </a:p>
        <a:p>
          <a:pPr algn="ctr"/>
          <a:r>
            <a:rPr lang="en-US" sz="1000">
              <a:solidFill>
                <a:schemeClr val="dk1"/>
              </a:solidFill>
              <a:latin typeface="Bookman Old Style" pitchFamily="18" charset="0"/>
              <a:ea typeface="+mn-ea"/>
              <a:cs typeface="+mn-cs"/>
            </a:rPr>
            <a:t>NIP. 19600112 198403 1 008</a:t>
          </a:r>
          <a:endParaRPr lang="id-ID" sz="1000">
            <a:latin typeface="Bookman Old Style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371475</xdr:colOff>
      <xdr:row>82</xdr:row>
      <xdr:rowOff>19050</xdr:rowOff>
    </xdr:from>
    <xdr:to>
      <xdr:col>15</xdr:col>
      <xdr:colOff>304800</xdr:colOff>
      <xdr:row>91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391025" y="26546175"/>
          <a:ext cx="2705100" cy="1362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Kepala Dinas Komunikasi dan Informatika</a:t>
          </a:r>
          <a:endParaRPr lang="id-ID" sz="8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Kabupaten Magelang</a:t>
          </a:r>
          <a:endParaRPr lang="id-ID" sz="8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id-ID" sz="8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id-ID" sz="8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id-ID" sz="8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id-ID" sz="8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800" b="1" u="sng">
              <a:solidFill>
                <a:schemeClr val="dk1"/>
              </a:solidFill>
              <a:latin typeface="+mn-lt"/>
              <a:ea typeface="+mn-ea"/>
              <a:cs typeface="+mn-cs"/>
            </a:rPr>
            <a:t>Drs. DJANU TREPSILO, MM</a:t>
          </a:r>
          <a:endParaRPr lang="id-ID" sz="8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Pembina </a:t>
          </a:r>
          <a:r>
            <a:rPr lang="id-ID" sz="800">
              <a:solidFill>
                <a:schemeClr val="dk1"/>
              </a:solidFill>
              <a:latin typeface="+mn-lt"/>
              <a:ea typeface="+mn-ea"/>
              <a:cs typeface="+mn-cs"/>
            </a:rPr>
            <a:t>Utama Muda</a:t>
          </a:r>
        </a:p>
        <a:p>
          <a:pPr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NIP. 19600112 198403 1 008</a:t>
          </a:r>
          <a:endParaRPr lang="id-ID" sz="8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id-ID" sz="900">
            <a:solidFill>
              <a:schemeClr val="dk1"/>
            </a:solidFill>
            <a:latin typeface="Arial Narrow" pitchFamily="34" charset="0"/>
            <a:ea typeface="+mn-ea"/>
            <a:cs typeface="+mn-cs"/>
          </a:endParaRPr>
        </a:p>
        <a:p>
          <a:endParaRPr lang="id-ID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81</xdr:row>
      <xdr:rowOff>0</xdr:rowOff>
    </xdr:from>
    <xdr:to>
      <xdr:col>8</xdr:col>
      <xdr:colOff>304800</xdr:colOff>
      <xdr:row>87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057775" y="31365825"/>
          <a:ext cx="3143250" cy="1076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000">
              <a:solidFill>
                <a:schemeClr val="dk1"/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Plt. Kepala Diskominfo Kabupaten Magelang</a:t>
          </a:r>
          <a:endParaRPr lang="id-ID" sz="1000">
            <a:solidFill>
              <a:schemeClr val="dk1"/>
            </a:solidFill>
            <a:latin typeface="Arial Narrow" panose="020B060602020203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id-ID" sz="1000" b="1" u="sng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id-ID" sz="1000" b="1" u="sng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ID" sz="1000" b="1" i="0" u="sng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Drs. SUGIYONO, M.SI.</a:t>
          </a:r>
          <a:endParaRPr lang="en-ID" sz="1000" b="0" i="0" u="none" strike="noStrike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ctr"/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P</a:t>
          </a:r>
          <a:r>
            <a:rPr lang="id-ID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embina Utama Muda</a:t>
          </a:r>
        </a:p>
        <a:p>
          <a:pPr algn="ctr"/>
          <a:r>
            <a:rPr lang="en-ID" sz="10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NIP. 19640102 198405 1 004</a:t>
          </a:r>
          <a:r>
            <a:rPr lang="en-ID" sz="1000">
              <a:latin typeface="Arial Narrow" panose="020B0606020202030204" pitchFamily="34" charset="0"/>
            </a:rPr>
            <a:t> </a:t>
          </a:r>
          <a:endParaRPr lang="id-ID" sz="1000">
            <a:latin typeface="Arial Narrow" panose="020B060602020203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542925</xdr:colOff>
      <xdr:row>30</xdr:row>
      <xdr:rowOff>57150</xdr:rowOff>
    </xdr:from>
    <xdr:to>
      <xdr:col>10</xdr:col>
      <xdr:colOff>714375</xdr:colOff>
      <xdr:row>35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2A7521E-9122-489E-865B-E6A5BB6EDF9A}"/>
            </a:ext>
          </a:extLst>
        </xdr:cNvPr>
        <xdr:cNvSpPr txBox="1"/>
      </xdr:nvSpPr>
      <xdr:spPr>
        <a:xfrm>
          <a:off x="6581775" y="6848475"/>
          <a:ext cx="4171950" cy="1076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>
              <a:solidFill>
                <a:schemeClr val="dk1"/>
              </a:solidFill>
              <a:latin typeface="Bookman Old Style" panose="02050604050505020204" pitchFamily="18" charset="0"/>
              <a:ea typeface="+mn-ea"/>
              <a:cs typeface="Arial" panose="020B0604020202020204" pitchFamily="34" charset="0"/>
            </a:rPr>
            <a:t>Plt. Kepala Diskominfo Kabupaten Magelang</a:t>
          </a:r>
          <a:endParaRPr lang="id-ID" sz="1100">
            <a:solidFill>
              <a:schemeClr val="dk1"/>
            </a:solidFill>
            <a:latin typeface="Bookman Old Style" panose="02050604050505020204" pitchFamily="18" charset="0"/>
            <a:ea typeface="+mn-ea"/>
            <a:cs typeface="Arial" panose="020B0604020202020204" pitchFamily="34" charset="0"/>
          </a:endParaRPr>
        </a:p>
        <a:p>
          <a:pPr algn="ctr"/>
          <a:endParaRPr lang="id-ID" sz="1100" b="1" u="sng">
            <a:solidFill>
              <a:schemeClr val="dk1"/>
            </a:solidFill>
            <a:effectLst/>
            <a:latin typeface="Bookman Old Style" panose="02050604050505020204" pitchFamily="18" charset="0"/>
            <a:ea typeface="+mn-ea"/>
            <a:cs typeface="Arial" panose="020B0604020202020204" pitchFamily="34" charset="0"/>
          </a:endParaRPr>
        </a:p>
        <a:p>
          <a:pPr algn="ctr"/>
          <a:endParaRPr lang="id-ID" sz="1100" b="1" u="sng">
            <a:solidFill>
              <a:schemeClr val="dk1"/>
            </a:solidFill>
            <a:effectLst/>
            <a:latin typeface="Bookman Old Style" panose="02050604050505020204" pitchFamily="18" charset="0"/>
            <a:ea typeface="+mn-ea"/>
            <a:cs typeface="Arial" panose="020B0604020202020204" pitchFamily="34" charset="0"/>
          </a:endParaRPr>
        </a:p>
        <a:p>
          <a:pPr algn="ctr"/>
          <a:r>
            <a:rPr lang="en-ID" sz="1100" b="1" i="0" u="sng" strike="noStrike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Drs. SUGIYONO, M.Si.</a:t>
          </a:r>
          <a:endParaRPr lang="en-ID" sz="1100" b="0" i="0" u="none" strike="noStrike">
            <a:solidFill>
              <a:schemeClr val="dk1"/>
            </a:solidFill>
            <a:effectLst/>
            <a:latin typeface="Bookman Old Style" panose="02050604050505020204" pitchFamily="18" charset="0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Arial" panose="020B0604020202020204" pitchFamily="34" charset="0"/>
            </a:rPr>
            <a:t>P</a:t>
          </a:r>
          <a:r>
            <a:rPr lang="id-ID" sz="1100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Arial" panose="020B0604020202020204" pitchFamily="34" charset="0"/>
            </a:rPr>
            <a:t>embina Utama Muda</a:t>
          </a:r>
        </a:p>
        <a:p>
          <a:pPr algn="ctr"/>
          <a:r>
            <a:rPr lang="en-ID" sz="1100" b="0" i="0" u="none" strike="noStrike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NIP. 19640102 198405 1 004</a:t>
          </a:r>
          <a:r>
            <a:rPr lang="en-ID" sz="1100">
              <a:latin typeface="Bookman Old Style" panose="02050604050505020204" pitchFamily="18" charset="0"/>
            </a:rPr>
            <a:t> </a:t>
          </a:r>
          <a:endParaRPr lang="id-ID" sz="1100">
            <a:latin typeface="Bookman Old Style" panose="020506040505050202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-2019/RakorPOK-25Apr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-2019/RAKOR%20POK%20-JULI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g-KAS"/>
      <sheetName val="Apr-19(I)"/>
      <sheetName val="Juli-19"/>
    </sheetNames>
    <sheetDataSet>
      <sheetData sheetId="0">
        <row r="20">
          <cell r="T20">
            <v>93608100</v>
          </cell>
        </row>
      </sheetData>
      <sheetData sheetId="1">
        <row r="21">
          <cell r="Y21">
            <v>3842470</v>
          </cell>
        </row>
        <row r="22">
          <cell r="Y22">
            <v>19669114</v>
          </cell>
        </row>
        <row r="23">
          <cell r="Y23">
            <v>8308500</v>
          </cell>
        </row>
        <row r="24">
          <cell r="Y24">
            <v>1777800</v>
          </cell>
        </row>
        <row r="25">
          <cell r="Y25">
            <v>0</v>
          </cell>
        </row>
        <row r="26">
          <cell r="Y26">
            <v>15237344</v>
          </cell>
        </row>
        <row r="27">
          <cell r="Y27">
            <v>8430000</v>
          </cell>
        </row>
        <row r="30">
          <cell r="Y30">
            <v>0</v>
          </cell>
        </row>
        <row r="31">
          <cell r="Y31">
            <v>5647500</v>
          </cell>
        </row>
        <row r="32">
          <cell r="Y32">
            <v>21515866</v>
          </cell>
        </row>
        <row r="33">
          <cell r="Y33">
            <v>15147000</v>
          </cell>
        </row>
        <row r="36">
          <cell r="Y36">
            <v>976965</v>
          </cell>
        </row>
        <row r="39">
          <cell r="Y39">
            <v>31700000</v>
          </cell>
        </row>
        <row r="40">
          <cell r="Y40">
            <v>0</v>
          </cell>
        </row>
        <row r="41">
          <cell r="Y41">
            <v>35236000</v>
          </cell>
        </row>
        <row r="42">
          <cell r="Y42">
            <v>16879500</v>
          </cell>
        </row>
        <row r="43">
          <cell r="Y43">
            <v>1789400</v>
          </cell>
        </row>
        <row r="44">
          <cell r="Y44">
            <v>0</v>
          </cell>
        </row>
        <row r="45">
          <cell r="Y45">
            <v>0</v>
          </cell>
        </row>
        <row r="46">
          <cell r="Y46">
            <v>729000</v>
          </cell>
        </row>
        <row r="47">
          <cell r="Y47">
            <v>15491500</v>
          </cell>
        </row>
        <row r="48">
          <cell r="Y48">
            <v>0</v>
          </cell>
        </row>
        <row r="49">
          <cell r="Y49">
            <v>10906465</v>
          </cell>
        </row>
        <row r="50">
          <cell r="Y50">
            <v>6777490</v>
          </cell>
        </row>
        <row r="53">
          <cell r="Y53">
            <v>5622000</v>
          </cell>
        </row>
        <row r="56">
          <cell r="Y56">
            <v>3602500</v>
          </cell>
        </row>
        <row r="59">
          <cell r="Y59">
            <v>5369000</v>
          </cell>
        </row>
        <row r="60">
          <cell r="Y60">
            <v>22882345</v>
          </cell>
        </row>
        <row r="61">
          <cell r="Y61">
            <v>0</v>
          </cell>
        </row>
        <row r="62">
          <cell r="Y62">
            <v>3010500</v>
          </cell>
        </row>
        <row r="63">
          <cell r="Y63">
            <v>1704000</v>
          </cell>
        </row>
        <row r="64">
          <cell r="Y64">
            <v>9866794</v>
          </cell>
        </row>
        <row r="65">
          <cell r="Y65">
            <v>19970875</v>
          </cell>
        </row>
        <row r="68">
          <cell r="Y68">
            <v>517500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g-KAS"/>
      <sheetName val="Apr-19(I)"/>
      <sheetName val="Juli-19"/>
    </sheetNames>
    <sheetDataSet>
      <sheetData sheetId="0" refreshError="1"/>
      <sheetData sheetId="1" refreshError="1"/>
      <sheetData sheetId="2">
        <row r="20">
          <cell r="V20">
            <v>214607300</v>
          </cell>
          <cell r="Z20">
            <v>162281525</v>
          </cell>
        </row>
        <row r="29">
          <cell r="V29">
            <v>4415557150</v>
          </cell>
          <cell r="Z29">
            <v>84622822</v>
          </cell>
        </row>
        <row r="35">
          <cell r="V35">
            <v>9213770</v>
          </cell>
          <cell r="Z35">
            <v>7232965</v>
          </cell>
        </row>
        <row r="38">
          <cell r="V38">
            <v>4114110660</v>
          </cell>
          <cell r="Z38">
            <v>806504395</v>
          </cell>
        </row>
        <row r="52">
          <cell r="Z52">
            <v>19158500</v>
          </cell>
        </row>
        <row r="53">
          <cell r="V53">
            <v>92744400</v>
          </cell>
        </row>
        <row r="55">
          <cell r="V55">
            <v>89523700</v>
          </cell>
          <cell r="Z55">
            <v>3602500</v>
          </cell>
        </row>
        <row r="58">
          <cell r="V58">
            <v>962177100</v>
          </cell>
          <cell r="Z58">
            <v>148645674</v>
          </cell>
        </row>
        <row r="67">
          <cell r="V67">
            <v>17017660</v>
          </cell>
          <cell r="Z67">
            <v>517500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6"/>
  <sheetViews>
    <sheetView view="pageBreakPreview" topLeftCell="A4" zoomScaleSheetLayoutView="100" workbookViewId="0">
      <selection activeCell="A2" sqref="A2:AI2"/>
    </sheetView>
  </sheetViews>
  <sheetFormatPr defaultRowHeight="15" x14ac:dyDescent="0.25"/>
  <cols>
    <col min="1" max="1" width="9.140625" style="242"/>
    <col min="2" max="2" width="4.7109375" style="242" customWidth="1"/>
    <col min="3" max="3" width="4" style="289" customWidth="1"/>
    <col min="4" max="4" width="5.5703125" style="242" customWidth="1"/>
    <col min="5" max="5" width="5.7109375" style="242" customWidth="1"/>
    <col min="6" max="6" width="4.140625" style="242" customWidth="1"/>
    <col min="7" max="7" width="28.7109375" style="242" customWidth="1"/>
    <col min="8" max="8" width="3.85546875" style="288" customWidth="1"/>
    <col min="9" max="9" width="29.42578125" style="242" customWidth="1"/>
    <col min="10" max="10" width="9.7109375" style="242" customWidth="1"/>
    <col min="11" max="11" width="10.140625" style="242" customWidth="1"/>
    <col min="12" max="12" width="9.85546875" style="242" customWidth="1"/>
    <col min="13" max="13" width="10.140625" style="242" customWidth="1"/>
    <col min="14" max="15" width="9.7109375" style="242" customWidth="1"/>
    <col min="16" max="16" width="9.42578125" style="242" customWidth="1"/>
    <col min="17" max="17" width="12" style="242" customWidth="1"/>
    <col min="18" max="18" width="11" style="242" customWidth="1"/>
    <col min="19" max="19" width="10.85546875" style="242" customWidth="1"/>
    <col min="20" max="20" width="11" style="242" customWidth="1"/>
    <col min="21" max="21" width="11.85546875" style="242" customWidth="1"/>
    <col min="22" max="22" width="13.28515625" style="242" customWidth="1"/>
    <col min="23" max="16384" width="9.140625" style="242"/>
  </cols>
  <sheetData>
    <row r="1" spans="2:22" x14ac:dyDescent="0.25">
      <c r="B1" s="693" t="s">
        <v>251</v>
      </c>
      <c r="C1" s="694"/>
      <c r="D1" s="694"/>
      <c r="E1" s="694"/>
      <c r="F1" s="694"/>
      <c r="G1" s="694"/>
      <c r="H1" s="694"/>
      <c r="I1" s="694"/>
      <c r="J1" s="694"/>
      <c r="K1" s="694"/>
      <c r="L1" s="694"/>
      <c r="M1" s="694"/>
      <c r="N1" s="694"/>
      <c r="O1" s="694"/>
      <c r="P1" s="694"/>
      <c r="Q1" s="694"/>
      <c r="R1" s="694"/>
      <c r="S1" s="694"/>
      <c r="T1" s="694"/>
      <c r="U1" s="694"/>
      <c r="V1" s="694"/>
    </row>
    <row r="3" spans="2:22" s="243" customFormat="1" ht="15" customHeight="1" x14ac:dyDescent="0.2">
      <c r="B3" s="689" t="s">
        <v>203</v>
      </c>
      <c r="C3" s="695" t="s">
        <v>48</v>
      </c>
      <c r="D3" s="696"/>
      <c r="E3" s="697"/>
      <c r="F3" s="695" t="s">
        <v>49</v>
      </c>
      <c r="G3" s="697"/>
      <c r="H3" s="695" t="s">
        <v>204</v>
      </c>
      <c r="I3" s="697"/>
      <c r="J3" s="689" t="s">
        <v>205</v>
      </c>
      <c r="K3" s="689" t="s">
        <v>206</v>
      </c>
      <c r="L3" s="689" t="s">
        <v>207</v>
      </c>
      <c r="M3" s="701" t="s">
        <v>208</v>
      </c>
      <c r="N3" s="701"/>
      <c r="O3" s="701"/>
      <c r="P3" s="701"/>
      <c r="Q3" s="689" t="s">
        <v>209</v>
      </c>
      <c r="R3" s="689" t="s">
        <v>210</v>
      </c>
      <c r="S3" s="689" t="s">
        <v>211</v>
      </c>
      <c r="T3" s="689" t="s">
        <v>212</v>
      </c>
      <c r="U3" s="689" t="s">
        <v>213</v>
      </c>
      <c r="V3" s="689" t="s">
        <v>214</v>
      </c>
    </row>
    <row r="4" spans="2:22" s="245" customFormat="1" ht="77.25" customHeight="1" x14ac:dyDescent="0.25">
      <c r="B4" s="689"/>
      <c r="C4" s="698"/>
      <c r="D4" s="699"/>
      <c r="E4" s="700"/>
      <c r="F4" s="698"/>
      <c r="G4" s="700"/>
      <c r="H4" s="698"/>
      <c r="I4" s="700"/>
      <c r="J4" s="689"/>
      <c r="K4" s="689"/>
      <c r="L4" s="689"/>
      <c r="M4" s="244" t="s">
        <v>1</v>
      </c>
      <c r="N4" s="244" t="s">
        <v>2</v>
      </c>
      <c r="O4" s="244" t="s">
        <v>3</v>
      </c>
      <c r="P4" s="244" t="s">
        <v>4</v>
      </c>
      <c r="Q4" s="689"/>
      <c r="R4" s="689"/>
      <c r="S4" s="689"/>
      <c r="T4" s="689"/>
      <c r="U4" s="689"/>
      <c r="V4" s="689"/>
    </row>
    <row r="5" spans="2:22" s="245" customFormat="1" ht="15" customHeight="1" x14ac:dyDescent="0.25">
      <c r="B5" s="244">
        <v>1</v>
      </c>
      <c r="C5" s="690">
        <v>2</v>
      </c>
      <c r="D5" s="691"/>
      <c r="E5" s="692"/>
      <c r="F5" s="690">
        <v>3</v>
      </c>
      <c r="G5" s="692"/>
      <c r="H5" s="690">
        <v>4</v>
      </c>
      <c r="I5" s="692"/>
      <c r="J5" s="244">
        <v>5</v>
      </c>
      <c r="K5" s="244">
        <v>6</v>
      </c>
      <c r="L5" s="244">
        <v>7</v>
      </c>
      <c r="M5" s="244">
        <v>8</v>
      </c>
      <c r="N5" s="244">
        <v>9</v>
      </c>
      <c r="O5" s="244">
        <v>10</v>
      </c>
      <c r="P5" s="244">
        <v>11</v>
      </c>
      <c r="Q5" s="246" t="s">
        <v>39</v>
      </c>
      <c r="R5" s="247" t="s">
        <v>215</v>
      </c>
      <c r="S5" s="248" t="s">
        <v>41</v>
      </c>
      <c r="T5" s="248" t="s">
        <v>216</v>
      </c>
      <c r="U5" s="244">
        <v>16</v>
      </c>
      <c r="V5" s="244">
        <v>17</v>
      </c>
    </row>
    <row r="6" spans="2:22" ht="41.25" customHeight="1" x14ac:dyDescent="0.25">
      <c r="B6" s="249"/>
      <c r="C6" s="250">
        <v>1</v>
      </c>
      <c r="D6" s="251" t="s">
        <v>217</v>
      </c>
      <c r="E6" s="250"/>
      <c r="F6" s="252"/>
      <c r="G6" s="253" t="s">
        <v>218</v>
      </c>
      <c r="H6" s="254"/>
      <c r="I6" s="255"/>
      <c r="J6" s="256"/>
      <c r="K6" s="257"/>
      <c r="L6" s="256"/>
      <c r="M6" s="258"/>
      <c r="N6" s="258"/>
      <c r="O6" s="258"/>
      <c r="P6" s="258"/>
      <c r="Q6" s="258"/>
      <c r="R6" s="258"/>
      <c r="S6" s="258"/>
      <c r="T6" s="258"/>
      <c r="U6" s="258"/>
      <c r="V6" s="258"/>
    </row>
    <row r="7" spans="2:22" ht="65.25" customHeight="1" x14ac:dyDescent="0.25">
      <c r="B7" s="259"/>
      <c r="C7" s="260">
        <v>1</v>
      </c>
      <c r="D7" s="261" t="s">
        <v>217</v>
      </c>
      <c r="E7" s="260">
        <v>15</v>
      </c>
      <c r="F7" s="262" t="s">
        <v>52</v>
      </c>
      <c r="G7" s="263" t="s">
        <v>23</v>
      </c>
      <c r="H7" s="264" t="s">
        <v>219</v>
      </c>
      <c r="I7" s="265" t="s">
        <v>220</v>
      </c>
      <c r="J7" s="266" t="s">
        <v>221</v>
      </c>
      <c r="K7" s="266" t="s">
        <v>221</v>
      </c>
      <c r="L7" s="266" t="s">
        <v>221</v>
      </c>
      <c r="M7" s="266" t="s">
        <v>221</v>
      </c>
      <c r="N7" s="266" t="s">
        <v>221</v>
      </c>
      <c r="O7" s="266" t="s">
        <v>221</v>
      </c>
      <c r="P7" s="266" t="s">
        <v>221</v>
      </c>
      <c r="Q7" s="266" t="s">
        <v>221</v>
      </c>
      <c r="R7" s="267">
        <v>1</v>
      </c>
      <c r="S7" s="266" t="s">
        <v>221</v>
      </c>
      <c r="T7" s="267">
        <v>1</v>
      </c>
      <c r="U7" s="268" t="s">
        <v>31</v>
      </c>
      <c r="V7" s="258"/>
    </row>
    <row r="8" spans="2:22" ht="54.75" customHeight="1" x14ac:dyDescent="0.25">
      <c r="B8" s="259"/>
      <c r="C8" s="260"/>
      <c r="D8" s="260"/>
      <c r="E8" s="260"/>
      <c r="F8" s="262"/>
      <c r="G8" s="263"/>
      <c r="H8" s="269" t="s">
        <v>222</v>
      </c>
      <c r="I8" s="265" t="s">
        <v>223</v>
      </c>
      <c r="J8" s="266" t="s">
        <v>224</v>
      </c>
      <c r="K8" s="266" t="s">
        <v>244</v>
      </c>
      <c r="L8" s="266" t="s">
        <v>224</v>
      </c>
      <c r="M8" s="266" t="s">
        <v>244</v>
      </c>
      <c r="N8" s="266" t="s">
        <v>244</v>
      </c>
      <c r="O8" s="301" t="s">
        <v>255</v>
      </c>
      <c r="P8" s="301" t="s">
        <v>255</v>
      </c>
      <c r="Q8" s="301" t="s">
        <v>255</v>
      </c>
      <c r="R8" s="267">
        <v>1</v>
      </c>
      <c r="S8" s="266" t="s">
        <v>244</v>
      </c>
      <c r="T8" s="267">
        <f>30/16*100%</f>
        <v>1.875</v>
      </c>
      <c r="U8" s="268" t="s">
        <v>31</v>
      </c>
      <c r="V8" s="258"/>
    </row>
    <row r="9" spans="2:22" ht="66.75" customHeight="1" x14ac:dyDescent="0.25">
      <c r="B9" s="259"/>
      <c r="C9" s="260"/>
      <c r="D9" s="260"/>
      <c r="E9" s="260"/>
      <c r="F9" s="262"/>
      <c r="G9" s="263"/>
      <c r="H9" s="269" t="s">
        <v>225</v>
      </c>
      <c r="I9" s="265" t="s">
        <v>226</v>
      </c>
      <c r="J9" s="266" t="s">
        <v>227</v>
      </c>
      <c r="K9" s="266" t="s">
        <v>245</v>
      </c>
      <c r="L9" s="266" t="s">
        <v>227</v>
      </c>
      <c r="M9" s="266">
        <v>0</v>
      </c>
      <c r="N9" s="266">
        <v>0</v>
      </c>
      <c r="O9" s="266" t="s">
        <v>227</v>
      </c>
      <c r="P9" s="266">
        <v>0</v>
      </c>
      <c r="Q9" s="266" t="s">
        <v>227</v>
      </c>
      <c r="R9" s="267">
        <v>1</v>
      </c>
      <c r="S9" s="266" t="s">
        <v>259</v>
      </c>
      <c r="T9" s="267">
        <f>17/5*100%</f>
        <v>3.4</v>
      </c>
      <c r="U9" s="268" t="s">
        <v>31</v>
      </c>
      <c r="V9" s="258"/>
    </row>
    <row r="10" spans="2:22" ht="66.75" customHeight="1" x14ac:dyDescent="0.25">
      <c r="B10" s="259"/>
      <c r="C10" s="260"/>
      <c r="D10" s="260"/>
      <c r="E10" s="260"/>
      <c r="F10" s="262"/>
      <c r="G10" s="263"/>
      <c r="H10" s="269" t="s">
        <v>228</v>
      </c>
      <c r="I10" s="265" t="s">
        <v>229</v>
      </c>
      <c r="J10" s="266" t="s">
        <v>28</v>
      </c>
      <c r="K10" s="266" t="s">
        <v>28</v>
      </c>
      <c r="L10" s="266" t="s">
        <v>28</v>
      </c>
      <c r="M10" s="266" t="s">
        <v>247</v>
      </c>
      <c r="N10" s="266" t="s">
        <v>247</v>
      </c>
      <c r="O10" s="266" t="s">
        <v>247</v>
      </c>
      <c r="P10" s="266" t="s">
        <v>247</v>
      </c>
      <c r="Q10" s="266" t="s">
        <v>28</v>
      </c>
      <c r="R10" s="267">
        <v>1</v>
      </c>
      <c r="S10" s="266" t="s">
        <v>260</v>
      </c>
      <c r="T10" s="267">
        <f>21/12*100%</f>
        <v>1.75</v>
      </c>
      <c r="U10" s="268" t="s">
        <v>31</v>
      </c>
      <c r="V10" s="258"/>
    </row>
    <row r="11" spans="2:22" ht="81" customHeight="1" x14ac:dyDescent="0.25">
      <c r="B11" s="259"/>
      <c r="C11" s="260"/>
      <c r="D11" s="260"/>
      <c r="E11" s="260"/>
      <c r="F11" s="262"/>
      <c r="G11" s="263"/>
      <c r="H11" s="269" t="s">
        <v>230</v>
      </c>
      <c r="I11" s="265" t="s">
        <v>231</v>
      </c>
      <c r="J11" s="266" t="s">
        <v>232</v>
      </c>
      <c r="K11" s="266" t="s">
        <v>232</v>
      </c>
      <c r="L11" s="266" t="s">
        <v>263</v>
      </c>
      <c r="M11" s="266">
        <v>0</v>
      </c>
      <c r="N11" s="266">
        <v>0</v>
      </c>
      <c r="O11" s="266" t="s">
        <v>256</v>
      </c>
      <c r="P11" s="266" t="s">
        <v>264</v>
      </c>
      <c r="Q11" s="266" t="s">
        <v>263</v>
      </c>
      <c r="R11" s="267">
        <v>1</v>
      </c>
      <c r="S11" s="270" t="s">
        <v>258</v>
      </c>
      <c r="T11" s="267">
        <f>17/12*100%</f>
        <v>1.4166666666666667</v>
      </c>
      <c r="U11" s="268" t="s">
        <v>31</v>
      </c>
      <c r="V11" s="258"/>
    </row>
    <row r="12" spans="2:22" ht="30" customHeight="1" x14ac:dyDescent="0.25">
      <c r="B12" s="259"/>
      <c r="C12" s="260"/>
      <c r="D12" s="260"/>
      <c r="E12" s="260"/>
      <c r="F12" s="262"/>
      <c r="G12" s="263"/>
      <c r="H12" s="269" t="s">
        <v>233</v>
      </c>
      <c r="I12" s="265" t="s">
        <v>234</v>
      </c>
      <c r="J12" s="271" t="s">
        <v>249</v>
      </c>
      <c r="K12" s="271" t="s">
        <v>249</v>
      </c>
      <c r="L12" s="271" t="s">
        <v>249</v>
      </c>
      <c r="M12" s="271" t="s">
        <v>249</v>
      </c>
      <c r="N12" s="271" t="s">
        <v>249</v>
      </c>
      <c r="O12" s="271" t="s">
        <v>249</v>
      </c>
      <c r="P12" s="271" t="s">
        <v>249</v>
      </c>
      <c r="Q12" s="271" t="s">
        <v>249</v>
      </c>
      <c r="R12" s="267">
        <v>1</v>
      </c>
      <c r="S12" s="271" t="s">
        <v>249</v>
      </c>
      <c r="T12" s="267">
        <v>1</v>
      </c>
      <c r="U12" s="272" t="s">
        <v>235</v>
      </c>
      <c r="V12" s="258"/>
    </row>
    <row r="13" spans="2:22" ht="51" customHeight="1" x14ac:dyDescent="0.25">
      <c r="B13" s="259"/>
      <c r="C13" s="260">
        <v>1</v>
      </c>
      <c r="D13" s="261" t="s">
        <v>217</v>
      </c>
      <c r="E13" s="260">
        <v>17</v>
      </c>
      <c r="F13" s="262" t="s">
        <v>62</v>
      </c>
      <c r="G13" s="263" t="s">
        <v>236</v>
      </c>
      <c r="H13" s="264" t="s">
        <v>219</v>
      </c>
      <c r="I13" s="265" t="s">
        <v>237</v>
      </c>
      <c r="J13" s="273" t="s">
        <v>262</v>
      </c>
      <c r="K13" s="302" t="s">
        <v>257</v>
      </c>
      <c r="L13" s="302" t="s">
        <v>261</v>
      </c>
      <c r="M13" s="273"/>
      <c r="N13" s="273"/>
      <c r="O13" s="302" t="s">
        <v>261</v>
      </c>
      <c r="P13" s="302">
        <v>0</v>
      </c>
      <c r="Q13" s="273" t="s">
        <v>261</v>
      </c>
      <c r="R13" s="267">
        <v>1</v>
      </c>
      <c r="S13" s="274"/>
      <c r="T13" s="267"/>
      <c r="U13" s="272" t="s">
        <v>31</v>
      </c>
      <c r="V13" s="258"/>
    </row>
    <row r="14" spans="2:22" ht="41.25" customHeight="1" x14ac:dyDescent="0.25">
      <c r="B14" s="259"/>
      <c r="C14" s="260"/>
      <c r="D14" s="260"/>
      <c r="E14" s="260"/>
      <c r="F14" s="262"/>
      <c r="G14" s="263"/>
      <c r="H14" s="264" t="s">
        <v>222</v>
      </c>
      <c r="I14" s="265" t="s">
        <v>238</v>
      </c>
      <c r="J14" s="273" t="s">
        <v>239</v>
      </c>
      <c r="K14" s="273" t="s">
        <v>248</v>
      </c>
      <c r="L14" s="273" t="s">
        <v>240</v>
      </c>
      <c r="M14" s="302">
        <v>0</v>
      </c>
      <c r="N14" s="273" t="s">
        <v>240</v>
      </c>
      <c r="O14" s="302">
        <v>0</v>
      </c>
      <c r="P14" s="302">
        <v>0</v>
      </c>
      <c r="Q14" s="273" t="s">
        <v>240</v>
      </c>
      <c r="R14" s="267">
        <f>240/605*100%</f>
        <v>0.39669421487603307</v>
      </c>
      <c r="S14" s="273" t="s">
        <v>250</v>
      </c>
      <c r="T14" s="267">
        <f>340/605*100%</f>
        <v>0.56198347107438018</v>
      </c>
      <c r="U14" s="272" t="s">
        <v>241</v>
      </c>
      <c r="V14" s="258"/>
    </row>
    <row r="15" spans="2:22" ht="28.5" customHeight="1" x14ac:dyDescent="0.25">
      <c r="B15" s="275"/>
      <c r="C15" s="260">
        <v>1</v>
      </c>
      <c r="D15" s="261" t="s">
        <v>217</v>
      </c>
      <c r="E15" s="260">
        <v>18</v>
      </c>
      <c r="F15" s="262" t="s">
        <v>71</v>
      </c>
      <c r="G15" s="263" t="s">
        <v>242</v>
      </c>
      <c r="H15" s="264" t="s">
        <v>219</v>
      </c>
      <c r="I15" s="265" t="s">
        <v>243</v>
      </c>
      <c r="J15" s="276">
        <v>1</v>
      </c>
      <c r="K15" s="276">
        <v>1</v>
      </c>
      <c r="L15" s="276">
        <v>1</v>
      </c>
      <c r="M15" s="276">
        <v>1</v>
      </c>
      <c r="N15" s="276">
        <v>1</v>
      </c>
      <c r="O15" s="276">
        <v>1</v>
      </c>
      <c r="P15" s="276">
        <v>1</v>
      </c>
      <c r="Q15" s="276">
        <v>1</v>
      </c>
      <c r="R15" s="267">
        <v>1</v>
      </c>
      <c r="S15" s="276">
        <v>1</v>
      </c>
      <c r="T15" s="267">
        <v>1</v>
      </c>
      <c r="U15" s="272" t="s">
        <v>31</v>
      </c>
      <c r="V15" s="258"/>
    </row>
    <row r="16" spans="2:22" ht="24" customHeight="1" x14ac:dyDescent="0.3">
      <c r="C16" s="277"/>
      <c r="D16" s="278"/>
      <c r="E16" s="277"/>
      <c r="F16" s="279"/>
      <c r="G16" s="280"/>
      <c r="H16" s="281"/>
      <c r="I16" s="280"/>
      <c r="J16" s="282"/>
      <c r="K16" s="282"/>
      <c r="L16" s="282"/>
      <c r="M16" s="282"/>
      <c r="N16" s="282"/>
      <c r="O16" s="283"/>
      <c r="P16" s="283"/>
      <c r="Q16" s="282"/>
      <c r="R16" s="688" t="s">
        <v>253</v>
      </c>
      <c r="S16" s="688"/>
      <c r="T16" s="688"/>
      <c r="U16" s="688"/>
      <c r="V16" s="284"/>
    </row>
    <row r="17" spans="3:22" x14ac:dyDescent="0.25">
      <c r="C17" s="277"/>
      <c r="D17" s="278"/>
      <c r="E17" s="277"/>
      <c r="F17" s="279"/>
      <c r="G17" s="280"/>
      <c r="H17" s="281"/>
      <c r="I17" s="280"/>
      <c r="J17" s="282"/>
      <c r="K17" s="282"/>
      <c r="L17" s="282"/>
      <c r="M17" s="282"/>
      <c r="N17" s="282"/>
      <c r="O17" s="283"/>
      <c r="P17" s="283"/>
      <c r="Q17" s="282"/>
      <c r="R17" s="285"/>
      <c r="S17" s="282"/>
      <c r="T17" s="285"/>
      <c r="U17" s="286"/>
      <c r="V17" s="284"/>
    </row>
    <row r="18" spans="3:22" x14ac:dyDescent="0.25">
      <c r="C18" s="277"/>
      <c r="D18" s="278"/>
      <c r="E18" s="277"/>
      <c r="F18" s="279"/>
      <c r="G18" s="280"/>
      <c r="H18" s="281"/>
      <c r="I18" s="280"/>
      <c r="J18" s="282"/>
      <c r="K18" s="282"/>
      <c r="L18" s="282"/>
      <c r="M18" s="282"/>
      <c r="N18" s="282"/>
      <c r="O18" s="283"/>
      <c r="P18" s="283"/>
      <c r="Q18" s="282"/>
      <c r="R18" s="285"/>
      <c r="S18" s="282"/>
      <c r="T18" s="285"/>
      <c r="U18" s="286"/>
      <c r="V18" s="284"/>
    </row>
    <row r="19" spans="3:22" ht="12.75" customHeight="1" x14ac:dyDescent="0.25">
      <c r="C19" s="277"/>
      <c r="D19" s="278"/>
      <c r="E19" s="277"/>
      <c r="F19" s="279"/>
      <c r="G19" s="280"/>
      <c r="H19" s="281"/>
      <c r="I19" s="280"/>
      <c r="J19" s="282"/>
      <c r="K19" s="282"/>
      <c r="L19" s="282"/>
      <c r="M19" s="282"/>
      <c r="N19" s="282"/>
      <c r="O19" s="283"/>
      <c r="P19" s="283"/>
      <c r="Q19" s="282"/>
      <c r="R19" s="285"/>
      <c r="S19" s="282"/>
      <c r="T19" s="285"/>
      <c r="U19" s="286"/>
      <c r="V19" s="284"/>
    </row>
    <row r="20" spans="3:22" ht="7.5" customHeight="1" x14ac:dyDescent="0.25">
      <c r="C20" s="277"/>
      <c r="D20" s="278"/>
      <c r="E20" s="277"/>
      <c r="F20" s="279"/>
      <c r="G20" s="280"/>
      <c r="H20" s="281"/>
      <c r="I20" s="280"/>
      <c r="J20" s="282"/>
      <c r="K20" s="282"/>
      <c r="L20" s="282"/>
      <c r="M20" s="282"/>
      <c r="N20" s="282"/>
      <c r="O20" s="283"/>
      <c r="P20" s="283"/>
      <c r="Q20" s="282"/>
      <c r="R20" s="285"/>
      <c r="S20" s="282"/>
      <c r="T20" s="285"/>
      <c r="U20" s="286"/>
      <c r="V20" s="284"/>
    </row>
    <row r="21" spans="3:22" x14ac:dyDescent="0.25">
      <c r="C21" s="277"/>
      <c r="D21" s="278"/>
      <c r="E21" s="277"/>
      <c r="F21" s="279"/>
      <c r="G21" s="280"/>
      <c r="H21" s="281"/>
      <c r="I21" s="280"/>
      <c r="J21" s="282"/>
      <c r="K21" s="282"/>
      <c r="L21" s="282"/>
      <c r="M21" s="282"/>
      <c r="N21" s="282"/>
      <c r="O21" s="283"/>
      <c r="P21" s="283"/>
      <c r="Q21" s="282"/>
      <c r="R21" s="285"/>
      <c r="S21" s="282"/>
      <c r="T21" s="285"/>
      <c r="U21" s="286"/>
      <c r="V21" s="284"/>
    </row>
    <row r="22" spans="3:22" x14ac:dyDescent="0.25">
      <c r="C22" s="277"/>
      <c r="D22" s="278"/>
      <c r="E22" s="277"/>
      <c r="F22" s="279"/>
      <c r="G22" s="280"/>
      <c r="H22" s="281"/>
      <c r="I22" s="280"/>
      <c r="J22" s="282"/>
      <c r="K22" s="282"/>
      <c r="L22" s="282"/>
      <c r="M22" s="282"/>
      <c r="N22" s="282"/>
      <c r="O22" s="283"/>
      <c r="P22" s="283"/>
      <c r="Q22" s="282"/>
      <c r="R22" s="285"/>
      <c r="S22" s="282"/>
      <c r="T22" s="285"/>
      <c r="U22" s="286"/>
      <c r="V22" s="284"/>
    </row>
    <row r="23" spans="3:22" x14ac:dyDescent="0.25">
      <c r="C23" s="277"/>
      <c r="D23" s="278"/>
      <c r="E23" s="277"/>
      <c r="F23" s="279"/>
      <c r="G23" s="280"/>
      <c r="H23" s="281"/>
      <c r="I23" s="280"/>
      <c r="J23" s="282"/>
      <c r="K23" s="282"/>
      <c r="L23" s="282"/>
      <c r="M23" s="282"/>
      <c r="N23" s="282"/>
      <c r="O23" s="283"/>
      <c r="P23" s="283"/>
      <c r="Q23" s="282"/>
      <c r="R23" s="285"/>
      <c r="S23" s="282"/>
      <c r="T23" s="285"/>
      <c r="U23" s="286"/>
      <c r="V23" s="284"/>
    </row>
    <row r="24" spans="3:22" x14ac:dyDescent="0.25">
      <c r="C24" s="277"/>
      <c r="D24" s="278"/>
      <c r="E24" s="277"/>
      <c r="F24" s="279"/>
      <c r="G24" s="280"/>
      <c r="H24" s="281"/>
      <c r="I24" s="280"/>
      <c r="J24" s="282"/>
      <c r="K24" s="282"/>
      <c r="L24" s="282"/>
      <c r="M24" s="282"/>
      <c r="N24" s="282"/>
      <c r="O24" s="283"/>
      <c r="P24" s="283"/>
      <c r="Q24" s="282"/>
      <c r="R24" s="285"/>
      <c r="S24" s="282"/>
      <c r="T24" s="285"/>
      <c r="U24" s="286"/>
      <c r="V24" s="284"/>
    </row>
    <row r="25" spans="3:22" x14ac:dyDescent="0.25">
      <c r="C25" s="277"/>
      <c r="D25" s="278"/>
      <c r="E25" s="277"/>
      <c r="F25" s="279"/>
      <c r="G25" s="280"/>
      <c r="H25" s="281"/>
      <c r="I25" s="280"/>
      <c r="J25" s="282"/>
      <c r="K25" s="282"/>
      <c r="L25" s="282"/>
      <c r="M25" s="282"/>
      <c r="N25" s="282"/>
      <c r="O25" s="283"/>
      <c r="P25" s="283"/>
      <c r="Q25" s="282"/>
      <c r="R25" s="285"/>
      <c r="S25" s="282"/>
      <c r="T25" s="285"/>
      <c r="U25" s="286"/>
      <c r="V25" s="284"/>
    </row>
    <row r="26" spans="3:22" x14ac:dyDescent="0.25">
      <c r="C26" s="287"/>
      <c r="D26" s="287"/>
      <c r="E26" s="287"/>
    </row>
  </sheetData>
  <mergeCells count="19">
    <mergeCell ref="V3:V4"/>
    <mergeCell ref="C5:E5"/>
    <mergeCell ref="F5:G5"/>
    <mergeCell ref="H5:I5"/>
    <mergeCell ref="B1:V1"/>
    <mergeCell ref="B3:B4"/>
    <mergeCell ref="C3:E4"/>
    <mergeCell ref="F3:G4"/>
    <mergeCell ref="H3:I4"/>
    <mergeCell ref="J3:J4"/>
    <mergeCell ref="K3:K4"/>
    <mergeCell ref="L3:L4"/>
    <mergeCell ref="M3:P3"/>
    <mergeCell ref="Q3:Q4"/>
    <mergeCell ref="R16:U16"/>
    <mergeCell ref="R3:R4"/>
    <mergeCell ref="S3:S4"/>
    <mergeCell ref="T3:T4"/>
    <mergeCell ref="U3:U4"/>
  </mergeCells>
  <pageMargins left="0.45866141700000002" right="0.95866141699999996" top="0.74803149606299202" bottom="0.74803149606299202" header="0.31496062992126" footer="0.31496062992126"/>
  <pageSetup paperSize="5" scale="65" orientation="landscape" horizontalDpi="4294967292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03"/>
  <sheetViews>
    <sheetView view="pageBreakPreview" topLeftCell="F1" zoomScaleSheetLayoutView="100" workbookViewId="0">
      <pane xSplit="2" ySplit="11" topLeftCell="H12" activePane="bottomRight" state="frozen"/>
      <selection activeCell="A2" sqref="A2:AI2"/>
      <selection pane="topRight" activeCell="A2" sqref="A2:AI2"/>
      <selection pane="bottomLeft" activeCell="A2" sqref="A2:AI2"/>
      <selection pane="bottomRight" activeCell="A2" sqref="A2:AI2"/>
    </sheetView>
  </sheetViews>
  <sheetFormatPr defaultRowHeight="12.75" x14ac:dyDescent="0.25"/>
  <cols>
    <col min="1" max="1" width="3.7109375" style="1" customWidth="1"/>
    <col min="2" max="5" width="3" style="1" customWidth="1"/>
    <col min="6" max="6" width="21.28515625" style="2" customWidth="1"/>
    <col min="7" max="7" width="23.28515625" style="2" customWidth="1"/>
    <col min="8" max="8" width="8.85546875" style="2" customWidth="1"/>
    <col min="9" max="9" width="12" style="200" customWidth="1"/>
    <col min="10" max="10" width="9.5703125" style="1" hidden="1" customWidth="1"/>
    <col min="11" max="11" width="10.28515625" style="1" hidden="1" customWidth="1"/>
    <col min="12" max="12" width="8.140625" style="1" hidden="1" customWidth="1"/>
    <col min="13" max="13" width="11.140625" style="1" hidden="1" customWidth="1"/>
    <col min="14" max="14" width="10.7109375" style="58" customWidth="1"/>
    <col min="15" max="15" width="10.7109375" style="1" customWidth="1"/>
    <col min="16" max="16" width="9.85546875" style="329" customWidth="1"/>
    <col min="17" max="17" width="11" style="308" customWidth="1"/>
    <col min="18" max="18" width="7.85546875" style="1" customWidth="1"/>
    <col min="19" max="19" width="9.5703125" style="57" customWidth="1"/>
    <col min="20" max="20" width="8.28515625" style="1" customWidth="1"/>
    <col min="21" max="21" width="10.5703125" style="57" customWidth="1"/>
    <col min="22" max="22" width="9" style="1" customWidth="1"/>
    <col min="23" max="23" width="9.5703125" style="1" customWidth="1"/>
    <col min="24" max="24" width="5.42578125" style="58" customWidth="1"/>
    <col min="25" max="25" width="10.42578125" style="59" customWidth="1"/>
    <col min="26" max="26" width="7.42578125" style="308" customWidth="1"/>
    <col min="27" max="27" width="10.5703125" style="1" customWidth="1"/>
    <col min="28" max="28" width="5.42578125" style="1" customWidth="1"/>
    <col min="29" max="29" width="6.85546875" style="1" customWidth="1"/>
    <col min="30" max="30" width="8.5703125" style="1" customWidth="1"/>
    <col min="31" max="31" width="10.7109375" style="1" customWidth="1"/>
    <col min="32" max="32" width="6" style="1" customWidth="1"/>
    <col min="33" max="33" width="6.42578125" style="1" customWidth="1"/>
    <col min="34" max="34" width="9" style="2" customWidth="1"/>
    <col min="35" max="35" width="4.7109375" style="2" customWidth="1"/>
    <col min="36" max="36" width="9.140625" style="1"/>
    <col min="37" max="37" width="10.42578125" style="1" customWidth="1"/>
    <col min="38" max="16384" width="9.140625" style="1"/>
  </cols>
  <sheetData>
    <row r="1" spans="1:38" x14ac:dyDescent="0.25">
      <c r="A1" s="718" t="s">
        <v>252</v>
      </c>
      <c r="B1" s="718"/>
      <c r="C1" s="718"/>
      <c r="D1" s="718"/>
      <c r="E1" s="718"/>
      <c r="F1" s="718"/>
      <c r="G1" s="718"/>
      <c r="H1" s="718"/>
      <c r="I1" s="718"/>
      <c r="J1" s="718"/>
      <c r="K1" s="718"/>
      <c r="L1" s="718"/>
      <c r="M1" s="718"/>
      <c r="N1" s="718"/>
      <c r="O1" s="718"/>
      <c r="P1" s="718"/>
      <c r="Q1" s="718"/>
      <c r="R1" s="718"/>
      <c r="S1" s="718"/>
      <c r="T1" s="718"/>
      <c r="U1" s="718"/>
      <c r="V1" s="718"/>
      <c r="W1" s="718"/>
      <c r="X1" s="718"/>
      <c r="Y1" s="718"/>
      <c r="Z1" s="718"/>
      <c r="AA1" s="718"/>
      <c r="AB1" s="718"/>
      <c r="AC1" s="718"/>
      <c r="AD1" s="718"/>
      <c r="AE1" s="718"/>
      <c r="AF1" s="718"/>
      <c r="AG1" s="718"/>
      <c r="AH1" s="718"/>
      <c r="AI1" s="718"/>
    </row>
    <row r="2" spans="1:38" x14ac:dyDescent="0.25">
      <c r="A2" s="718" t="s">
        <v>47</v>
      </c>
      <c r="B2" s="718"/>
      <c r="C2" s="718"/>
      <c r="D2" s="718"/>
      <c r="E2" s="718"/>
      <c r="F2" s="718"/>
      <c r="G2" s="718"/>
      <c r="H2" s="718"/>
      <c r="I2" s="718"/>
      <c r="J2" s="718"/>
      <c r="K2" s="718"/>
      <c r="L2" s="718"/>
      <c r="M2" s="718"/>
      <c r="N2" s="718"/>
      <c r="O2" s="718"/>
      <c r="P2" s="718"/>
      <c r="Q2" s="718"/>
      <c r="R2" s="718"/>
      <c r="S2" s="718"/>
      <c r="T2" s="718"/>
      <c r="U2" s="718"/>
      <c r="V2" s="718"/>
      <c r="W2" s="718"/>
      <c r="X2" s="718"/>
      <c r="Y2" s="718"/>
      <c r="Z2" s="718"/>
      <c r="AA2" s="718"/>
      <c r="AB2" s="718"/>
      <c r="AC2" s="718"/>
      <c r="AD2" s="718"/>
      <c r="AE2" s="718"/>
      <c r="AF2" s="718"/>
      <c r="AG2" s="718"/>
      <c r="AH2" s="718"/>
      <c r="AI2" s="718"/>
    </row>
    <row r="3" spans="1:38" x14ac:dyDescent="0.25">
      <c r="A3" s="718" t="s">
        <v>300</v>
      </c>
      <c r="B3" s="718"/>
      <c r="C3" s="718"/>
      <c r="D3" s="718"/>
      <c r="E3" s="718"/>
      <c r="F3" s="718"/>
      <c r="G3" s="718"/>
      <c r="H3" s="718"/>
      <c r="I3" s="718"/>
      <c r="J3" s="718"/>
      <c r="K3" s="718"/>
      <c r="L3" s="718"/>
      <c r="M3" s="718"/>
      <c r="N3" s="718"/>
      <c r="O3" s="718"/>
      <c r="P3" s="718"/>
      <c r="Q3" s="718"/>
      <c r="R3" s="718"/>
      <c r="S3" s="718"/>
      <c r="T3" s="718"/>
      <c r="U3" s="718"/>
      <c r="V3" s="718"/>
      <c r="W3" s="718"/>
      <c r="X3" s="718"/>
      <c r="Y3" s="718"/>
      <c r="Z3" s="718"/>
      <c r="AA3" s="718"/>
      <c r="AB3" s="718"/>
      <c r="AC3" s="718"/>
      <c r="AD3" s="718"/>
      <c r="AE3" s="718"/>
      <c r="AF3" s="718"/>
      <c r="AG3" s="718"/>
      <c r="AH3" s="718"/>
      <c r="AI3" s="718"/>
    </row>
    <row r="4" spans="1:38" ht="7.5" customHeight="1" x14ac:dyDescent="0.25"/>
    <row r="5" spans="1:38" ht="15" customHeight="1" x14ac:dyDescent="0.25">
      <c r="A5" s="1" t="s">
        <v>266</v>
      </c>
    </row>
    <row r="6" spans="1:38" ht="3" customHeight="1" x14ac:dyDescent="0.25"/>
    <row r="7" spans="1:38" ht="6.75" customHeight="1" x14ac:dyDescent="0.25"/>
    <row r="8" spans="1:38" ht="28.5" customHeight="1" x14ac:dyDescent="0.25">
      <c r="A8" s="771" t="s">
        <v>26</v>
      </c>
      <c r="B8" s="719" t="s">
        <v>48</v>
      </c>
      <c r="C8" s="737"/>
      <c r="D8" s="737"/>
      <c r="E8" s="720"/>
      <c r="F8" s="758" t="s">
        <v>49</v>
      </c>
      <c r="G8" s="771" t="s">
        <v>51</v>
      </c>
      <c r="H8" s="719" t="s">
        <v>50</v>
      </c>
      <c r="I8" s="720"/>
      <c r="J8" s="748" t="s">
        <v>199</v>
      </c>
      <c r="K8" s="749"/>
      <c r="L8" s="748" t="s">
        <v>286</v>
      </c>
      <c r="M8" s="749"/>
      <c r="N8" s="748" t="s">
        <v>285</v>
      </c>
      <c r="O8" s="749"/>
      <c r="P8" s="729" t="s">
        <v>270</v>
      </c>
      <c r="Q8" s="730"/>
      <c r="R8" s="772" t="s">
        <v>0</v>
      </c>
      <c r="S8" s="773"/>
      <c r="T8" s="773"/>
      <c r="U8" s="773"/>
      <c r="V8" s="773"/>
      <c r="W8" s="773"/>
      <c r="X8" s="773"/>
      <c r="Y8" s="774"/>
      <c r="Z8" s="719" t="s">
        <v>290</v>
      </c>
      <c r="AA8" s="720"/>
      <c r="AB8" s="719" t="s">
        <v>310</v>
      </c>
      <c r="AC8" s="720"/>
      <c r="AD8" s="748" t="s">
        <v>311</v>
      </c>
      <c r="AE8" s="749"/>
      <c r="AF8" s="761" t="s">
        <v>312</v>
      </c>
      <c r="AG8" s="762"/>
      <c r="AH8" s="758" t="s">
        <v>44</v>
      </c>
      <c r="AI8" s="758" t="s">
        <v>246</v>
      </c>
    </row>
    <row r="9" spans="1:38" ht="28.5" customHeight="1" x14ac:dyDescent="0.25">
      <c r="A9" s="771"/>
      <c r="B9" s="721"/>
      <c r="C9" s="738"/>
      <c r="D9" s="738"/>
      <c r="E9" s="722"/>
      <c r="F9" s="759"/>
      <c r="G9" s="771"/>
      <c r="H9" s="721"/>
      <c r="I9" s="722"/>
      <c r="J9" s="750"/>
      <c r="K9" s="751"/>
      <c r="L9" s="750"/>
      <c r="M9" s="751"/>
      <c r="N9" s="750"/>
      <c r="O9" s="751"/>
      <c r="P9" s="731"/>
      <c r="Q9" s="732"/>
      <c r="R9" s="754" t="s">
        <v>1</v>
      </c>
      <c r="S9" s="755"/>
      <c r="T9" s="754" t="s">
        <v>2</v>
      </c>
      <c r="U9" s="755"/>
      <c r="V9" s="754" t="s">
        <v>3</v>
      </c>
      <c r="W9" s="755"/>
      <c r="X9" s="777" t="s">
        <v>4</v>
      </c>
      <c r="Y9" s="778"/>
      <c r="Z9" s="721"/>
      <c r="AA9" s="722"/>
      <c r="AB9" s="721"/>
      <c r="AC9" s="722"/>
      <c r="AD9" s="750"/>
      <c r="AE9" s="751"/>
      <c r="AF9" s="763"/>
      <c r="AG9" s="764"/>
      <c r="AH9" s="759"/>
      <c r="AI9" s="759"/>
    </row>
    <row r="10" spans="1:38" ht="28.5" customHeight="1" x14ac:dyDescent="0.25">
      <c r="A10" s="771"/>
      <c r="B10" s="723"/>
      <c r="C10" s="739"/>
      <c r="D10" s="739"/>
      <c r="E10" s="724"/>
      <c r="F10" s="760"/>
      <c r="G10" s="771"/>
      <c r="H10" s="723"/>
      <c r="I10" s="724"/>
      <c r="J10" s="752"/>
      <c r="K10" s="753"/>
      <c r="L10" s="752"/>
      <c r="M10" s="753"/>
      <c r="N10" s="752"/>
      <c r="O10" s="753"/>
      <c r="P10" s="733"/>
      <c r="Q10" s="734"/>
      <c r="R10" s="756"/>
      <c r="S10" s="757"/>
      <c r="T10" s="756"/>
      <c r="U10" s="757"/>
      <c r="V10" s="756"/>
      <c r="W10" s="757"/>
      <c r="X10" s="779"/>
      <c r="Y10" s="780"/>
      <c r="Z10" s="723"/>
      <c r="AA10" s="724"/>
      <c r="AB10" s="723"/>
      <c r="AC10" s="724"/>
      <c r="AD10" s="752"/>
      <c r="AE10" s="753"/>
      <c r="AF10" s="765"/>
      <c r="AG10" s="766"/>
      <c r="AH10" s="760"/>
      <c r="AI10" s="760"/>
    </row>
    <row r="11" spans="1:38" s="60" customFormat="1" ht="15" customHeight="1" x14ac:dyDescent="0.25">
      <c r="A11" s="781">
        <v>1</v>
      </c>
      <c r="B11" s="740">
        <v>2</v>
      </c>
      <c r="C11" s="741"/>
      <c r="D11" s="741"/>
      <c r="E11" s="742"/>
      <c r="F11" s="727">
        <v>3</v>
      </c>
      <c r="G11" s="727">
        <v>4</v>
      </c>
      <c r="H11" s="746">
        <v>5</v>
      </c>
      <c r="I11" s="747"/>
      <c r="J11" s="769">
        <v>6</v>
      </c>
      <c r="K11" s="770"/>
      <c r="L11" s="769">
        <v>6</v>
      </c>
      <c r="M11" s="770"/>
      <c r="N11" s="769">
        <v>6</v>
      </c>
      <c r="O11" s="770"/>
      <c r="P11" s="735">
        <v>7</v>
      </c>
      <c r="Q11" s="736"/>
      <c r="R11" s="725">
        <v>8</v>
      </c>
      <c r="S11" s="726"/>
      <c r="T11" s="725">
        <v>9</v>
      </c>
      <c r="U11" s="726"/>
      <c r="V11" s="725">
        <v>10</v>
      </c>
      <c r="W11" s="726"/>
      <c r="X11" s="775">
        <v>11</v>
      </c>
      <c r="Y11" s="776"/>
      <c r="Z11" s="725" t="s">
        <v>39</v>
      </c>
      <c r="AA11" s="726"/>
      <c r="AB11" s="769" t="s">
        <v>40</v>
      </c>
      <c r="AC11" s="770"/>
      <c r="AD11" s="769" t="s">
        <v>41</v>
      </c>
      <c r="AE11" s="770"/>
      <c r="AF11" s="767" t="s">
        <v>42</v>
      </c>
      <c r="AG11" s="768"/>
      <c r="AH11" s="727">
        <v>16</v>
      </c>
      <c r="AI11" s="727">
        <v>17</v>
      </c>
    </row>
    <row r="12" spans="1:38" s="61" customFormat="1" x14ac:dyDescent="0.25">
      <c r="A12" s="782"/>
      <c r="B12" s="743"/>
      <c r="C12" s="744"/>
      <c r="D12" s="744"/>
      <c r="E12" s="745"/>
      <c r="F12" s="728"/>
      <c r="G12" s="728"/>
      <c r="H12" s="22" t="s">
        <v>5</v>
      </c>
      <c r="I12" s="25" t="s">
        <v>6</v>
      </c>
      <c r="J12" s="180" t="s">
        <v>5</v>
      </c>
      <c r="K12" s="180" t="s">
        <v>6</v>
      </c>
      <c r="L12" s="180" t="s">
        <v>5</v>
      </c>
      <c r="M12" s="180" t="s">
        <v>6</v>
      </c>
      <c r="N12" s="181" t="s">
        <v>5</v>
      </c>
      <c r="O12" s="180" t="s">
        <v>6</v>
      </c>
      <c r="P12" s="330" t="s">
        <v>27</v>
      </c>
      <c r="Q12" s="309" t="s">
        <v>9</v>
      </c>
      <c r="R12" s="182" t="s">
        <v>5</v>
      </c>
      <c r="S12" s="183" t="s">
        <v>6</v>
      </c>
      <c r="T12" s="182" t="s">
        <v>5</v>
      </c>
      <c r="U12" s="183" t="s">
        <v>6</v>
      </c>
      <c r="V12" s="182" t="s">
        <v>5</v>
      </c>
      <c r="W12" s="182" t="s">
        <v>6</v>
      </c>
      <c r="X12" s="181" t="s">
        <v>5</v>
      </c>
      <c r="Y12" s="184" t="s">
        <v>6</v>
      </c>
      <c r="Z12" s="309" t="s">
        <v>5</v>
      </c>
      <c r="AA12" s="182" t="s">
        <v>6</v>
      </c>
      <c r="AB12" s="182" t="s">
        <v>43</v>
      </c>
      <c r="AC12" s="180" t="s">
        <v>6</v>
      </c>
      <c r="AD12" s="180" t="s">
        <v>43</v>
      </c>
      <c r="AE12" s="180" t="s">
        <v>6</v>
      </c>
      <c r="AF12" s="185" t="s">
        <v>43</v>
      </c>
      <c r="AG12" s="185" t="s">
        <v>6</v>
      </c>
      <c r="AH12" s="728"/>
      <c r="AI12" s="728"/>
    </row>
    <row r="13" spans="1:38" s="66" customFormat="1" ht="15" customHeight="1" x14ac:dyDescent="0.25">
      <c r="A13" s="12"/>
      <c r="B13" s="44"/>
      <c r="C13" s="44"/>
      <c r="D13" s="12"/>
      <c r="E13" s="12"/>
      <c r="F13" s="27" t="s">
        <v>133</v>
      </c>
      <c r="G13" s="11"/>
      <c r="H13" s="23"/>
      <c r="I13" s="201"/>
      <c r="J13" s="62"/>
      <c r="K13" s="62"/>
      <c r="L13" s="62"/>
      <c r="M13" s="62"/>
      <c r="N13" s="18"/>
      <c r="O13" s="62"/>
      <c r="P13" s="321"/>
      <c r="Q13" s="331"/>
      <c r="R13" s="10"/>
      <c r="S13" s="223"/>
      <c r="T13" s="10"/>
      <c r="U13" s="223"/>
      <c r="V13" s="10"/>
      <c r="W13" s="223"/>
      <c r="X13" s="18"/>
      <c r="Y13" s="223"/>
      <c r="Z13" s="310"/>
      <c r="AA13" s="224"/>
      <c r="AB13" s="224"/>
      <c r="AC13" s="225"/>
      <c r="AD13" s="225"/>
      <c r="AE13" s="62"/>
      <c r="AF13" s="62"/>
      <c r="AG13" s="62"/>
      <c r="AH13" s="65"/>
      <c r="AI13" s="65"/>
    </row>
    <row r="14" spans="1:38" s="66" customFormat="1" ht="25.5" x14ac:dyDescent="0.25">
      <c r="A14" s="37"/>
      <c r="B14" s="31"/>
      <c r="C14" s="31"/>
      <c r="D14" s="31"/>
      <c r="E14" s="31"/>
      <c r="F14" s="38" t="s">
        <v>53</v>
      </c>
      <c r="G14" s="226"/>
      <c r="H14" s="67"/>
      <c r="I14" s="332">
        <f>SUM(I15,I25,I33,I37,I52,I59,I69)</f>
        <v>19986268540</v>
      </c>
      <c r="J14" s="67"/>
      <c r="K14" s="227">
        <f>SUM(K15,K25,K33,K37,K52,K59)</f>
        <v>2530452300</v>
      </c>
      <c r="L14" s="67"/>
      <c r="M14" s="332">
        <f>SUM(M15,M25,M33,M37,M52,M59,M69)</f>
        <v>2935780153</v>
      </c>
      <c r="N14" s="227"/>
      <c r="O14" s="332">
        <f>SUM(O15,O25,O33,O37,O52,O59,O69)</f>
        <v>9519718911</v>
      </c>
      <c r="P14" s="353"/>
      <c r="Q14" s="332">
        <f>SUM(Q15,Q25,Q33,Q37,Q52,Q59,Q69)</f>
        <v>3387815000</v>
      </c>
      <c r="R14" s="357"/>
      <c r="S14" s="332">
        <f>SUM(S15,S25,S33,S37,S52,S59,S69)</f>
        <v>336093649</v>
      </c>
      <c r="T14" s="8"/>
      <c r="U14" s="227">
        <f>SUM(U15,U25,U33,U37,U52,U59)</f>
        <v>0</v>
      </c>
      <c r="V14" s="8"/>
      <c r="W14" s="227">
        <f>SUM(W15,W25,W33,W37,W52,W59)</f>
        <v>0</v>
      </c>
      <c r="X14" s="50"/>
      <c r="Y14" s="228">
        <f>SUM(Y15,Y25,Y33,Y37,Y52,Y59)</f>
        <v>0</v>
      </c>
      <c r="Z14" s="313"/>
      <c r="AA14" s="227">
        <f>SUM(AA15,AA25,AA33,AA37,AA52,AA59,AA69)</f>
        <v>336093649</v>
      </c>
      <c r="AB14" s="229"/>
      <c r="AC14" s="230"/>
      <c r="AD14" s="231"/>
      <c r="AE14" s="227">
        <f>SUM(AE15,AE25,AE33,AE37,AE52,AE59)</f>
        <v>7537102697</v>
      </c>
      <c r="AF14" s="68"/>
      <c r="AG14" s="230"/>
      <c r="AH14" s="69"/>
      <c r="AI14" s="69"/>
    </row>
    <row r="15" spans="1:38" s="66" customFormat="1" ht="25.5" x14ac:dyDescent="0.25">
      <c r="A15" s="34" t="s">
        <v>52</v>
      </c>
      <c r="B15" s="35" t="s">
        <v>123</v>
      </c>
      <c r="C15" s="35" t="s">
        <v>62</v>
      </c>
      <c r="D15" s="35" t="s">
        <v>54</v>
      </c>
      <c r="E15" s="35"/>
      <c r="F15" s="27" t="s">
        <v>8</v>
      </c>
      <c r="G15" s="11"/>
      <c r="H15" s="62"/>
      <c r="I15" s="232">
        <f>SUM(I16:I22)</f>
        <v>1840500000</v>
      </c>
      <c r="J15" s="62"/>
      <c r="K15" s="232">
        <f>SUM(K16:K22)</f>
        <v>243326000</v>
      </c>
      <c r="L15" s="62"/>
      <c r="M15" s="232">
        <f>SUM(M16:M22)</f>
        <v>281475916</v>
      </c>
      <c r="N15" s="232"/>
      <c r="O15" s="232">
        <f>SUM(O16:O22)</f>
        <v>826602097</v>
      </c>
      <c r="P15" s="354"/>
      <c r="Q15" s="333">
        <f>SUM(Q16:Q22)</f>
        <v>362351000</v>
      </c>
      <c r="R15" s="358"/>
      <c r="S15" s="232">
        <f>SUM(S16:S22)</f>
        <v>36890692</v>
      </c>
      <c r="T15" s="10"/>
      <c r="U15" s="232">
        <f>SUM(U16:U22)</f>
        <v>0</v>
      </c>
      <c r="V15" s="10"/>
      <c r="W15" s="232">
        <f>SUM(W16:W22)</f>
        <v>0</v>
      </c>
      <c r="X15" s="189"/>
      <c r="Y15" s="232">
        <f>SUM(Y16:Y22)</f>
        <v>0</v>
      </c>
      <c r="Z15" s="310"/>
      <c r="AA15" s="232">
        <f>SUM(Y15,W15,U15,S15)</f>
        <v>36890692</v>
      </c>
      <c r="AB15" s="232"/>
      <c r="AC15" s="99">
        <f>AA15/Q15*100</f>
        <v>10.180927332889933</v>
      </c>
      <c r="AD15" s="234"/>
      <c r="AE15" s="232">
        <f>SUM(AE16:AE22)</f>
        <v>863492789</v>
      </c>
      <c r="AF15" s="90"/>
      <c r="AG15" s="233"/>
      <c r="AH15" s="65"/>
      <c r="AI15" s="65"/>
      <c r="AK15" s="235" t="s">
        <v>170</v>
      </c>
      <c r="AL15" s="235" t="s">
        <v>171</v>
      </c>
    </row>
    <row r="16" spans="1:38" s="66" customFormat="1" x14ac:dyDescent="0.25">
      <c r="A16" s="91"/>
      <c r="B16" s="91"/>
      <c r="C16" s="91"/>
      <c r="D16" s="91"/>
      <c r="E16" s="92" t="s">
        <v>54</v>
      </c>
      <c r="F16" s="93" t="s">
        <v>7</v>
      </c>
      <c r="G16" s="5" t="s">
        <v>86</v>
      </c>
      <c r="H16" s="94" t="s">
        <v>303</v>
      </c>
      <c r="I16" s="95">
        <v>181000000</v>
      </c>
      <c r="J16" s="94" t="s">
        <v>33</v>
      </c>
      <c r="K16" s="95">
        <v>28450900</v>
      </c>
      <c r="L16" s="94" t="s">
        <v>33</v>
      </c>
      <c r="M16" s="95">
        <v>31895200</v>
      </c>
      <c r="N16" s="199" t="s">
        <v>33</v>
      </c>
      <c r="O16" s="95">
        <v>83724450</v>
      </c>
      <c r="P16" s="320" t="s">
        <v>33</v>
      </c>
      <c r="Q16" s="317">
        <v>27786000</v>
      </c>
      <c r="R16" s="359" t="s">
        <v>307</v>
      </c>
      <c r="S16" s="19">
        <v>1640250</v>
      </c>
      <c r="T16" s="290"/>
      <c r="U16" s="96"/>
      <c r="V16" s="290"/>
      <c r="W16" s="48"/>
      <c r="X16" s="290"/>
      <c r="Y16" s="48"/>
      <c r="Z16" s="317" t="s">
        <v>307</v>
      </c>
      <c r="AA16" s="232">
        <f t="shared" ref="AA16:AA22" si="0">SUM(Y16,W16,U16,S16)</f>
        <v>1640250</v>
      </c>
      <c r="AB16" s="97">
        <v>19</v>
      </c>
      <c r="AC16" s="99">
        <f t="shared" ref="AC16:AC22" si="1">AA16/Q16*100</f>
        <v>5.903152666810624</v>
      </c>
      <c r="AD16" s="100" t="s">
        <v>309</v>
      </c>
      <c r="AE16" s="101">
        <f>O16+AA16</f>
        <v>85364700</v>
      </c>
      <c r="AF16" s="81">
        <v>0.65</v>
      </c>
      <c r="AG16" s="102">
        <f t="shared" ref="AG16:AG22" si="2">SUM(AE16/I16)*100</f>
        <v>47.16281767955801</v>
      </c>
      <c r="AH16" s="103" t="s">
        <v>31</v>
      </c>
      <c r="AI16" s="103"/>
      <c r="AK16" s="179" t="e">
        <f>SUM(Q16-#REF!)</f>
        <v>#REF!</v>
      </c>
      <c r="AL16" s="179" t="e">
        <f>SUM(#REF!-S16)</f>
        <v>#REF!</v>
      </c>
    </row>
    <row r="17" spans="1:39" s="66" customFormat="1" ht="25.5" customHeight="1" x14ac:dyDescent="0.25">
      <c r="A17" s="7"/>
      <c r="B17" s="7"/>
      <c r="C17" s="7"/>
      <c r="D17" s="7"/>
      <c r="E17" s="92" t="s">
        <v>56</v>
      </c>
      <c r="F17" s="93" t="s">
        <v>13</v>
      </c>
      <c r="G17" s="5" t="s">
        <v>85</v>
      </c>
      <c r="H17" s="115" t="s">
        <v>304</v>
      </c>
      <c r="I17" s="95">
        <v>550000000</v>
      </c>
      <c r="J17" s="94" t="s">
        <v>28</v>
      </c>
      <c r="K17" s="95">
        <v>65000000</v>
      </c>
      <c r="L17" s="94" t="s">
        <v>28</v>
      </c>
      <c r="M17" s="95">
        <v>67180141</v>
      </c>
      <c r="N17" s="199" t="s">
        <v>28</v>
      </c>
      <c r="O17" s="95">
        <v>214108299</v>
      </c>
      <c r="P17" s="320" t="s">
        <v>28</v>
      </c>
      <c r="Q17" s="317">
        <v>109020000</v>
      </c>
      <c r="R17" s="359" t="s">
        <v>308</v>
      </c>
      <c r="S17" s="19">
        <v>20779442</v>
      </c>
      <c r="T17" s="19"/>
      <c r="U17" s="96"/>
      <c r="V17" s="19"/>
      <c r="W17" s="48"/>
      <c r="X17" s="19"/>
      <c r="Y17" s="48"/>
      <c r="Z17" s="359" t="s">
        <v>308</v>
      </c>
      <c r="AA17" s="232">
        <f t="shared" si="0"/>
        <v>20779442</v>
      </c>
      <c r="AB17" s="97">
        <v>15</v>
      </c>
      <c r="AC17" s="99">
        <f t="shared" si="1"/>
        <v>19.060210970464134</v>
      </c>
      <c r="AD17" s="397" t="s">
        <v>304</v>
      </c>
      <c r="AE17" s="101">
        <f t="shared" ref="AE17:AE22" si="3">O17+AA17</f>
        <v>234887741</v>
      </c>
      <c r="AF17" s="81">
        <v>0.65</v>
      </c>
      <c r="AG17" s="102">
        <f t="shared" si="2"/>
        <v>42.706862000000001</v>
      </c>
      <c r="AH17" s="103" t="str">
        <f t="shared" ref="AH17:AH22" si="4">AH16</f>
        <v>Diskominfo</v>
      </c>
      <c r="AI17" s="103"/>
      <c r="AK17" s="179">
        <f t="shared" ref="AK17:AK22" si="5">SUM(Q17-AA17)</f>
        <v>88240558</v>
      </c>
      <c r="AL17" s="179" t="e">
        <f>SUM(#REF!-S17)</f>
        <v>#REF!</v>
      </c>
    </row>
    <row r="18" spans="1:39" s="66" customFormat="1" ht="25.5" x14ac:dyDescent="0.25">
      <c r="A18" s="7"/>
      <c r="B18" s="7"/>
      <c r="C18" s="7"/>
      <c r="D18" s="7"/>
      <c r="E18" s="92" t="s">
        <v>57</v>
      </c>
      <c r="F18" s="93" t="s">
        <v>14</v>
      </c>
      <c r="G18" s="5" t="s">
        <v>32</v>
      </c>
      <c r="H18" s="94" t="s">
        <v>305</v>
      </c>
      <c r="I18" s="95">
        <v>276000000</v>
      </c>
      <c r="J18" s="94" t="s">
        <v>136</v>
      </c>
      <c r="K18" s="95">
        <v>43892000</v>
      </c>
      <c r="L18" s="94" t="s">
        <v>28</v>
      </c>
      <c r="M18" s="95">
        <v>45082000</v>
      </c>
      <c r="N18" s="199" t="s">
        <v>28</v>
      </c>
      <c r="O18" s="95">
        <v>141477850</v>
      </c>
      <c r="P18" s="320" t="s">
        <v>28</v>
      </c>
      <c r="Q18" s="317">
        <v>49538000</v>
      </c>
      <c r="R18" s="359" t="s">
        <v>308</v>
      </c>
      <c r="S18" s="19">
        <v>14471000</v>
      </c>
      <c r="T18" s="19"/>
      <c r="U18" s="96"/>
      <c r="V18" s="19"/>
      <c r="W18" s="48"/>
      <c r="X18" s="19"/>
      <c r="Y18" s="48"/>
      <c r="Z18" s="359" t="s">
        <v>308</v>
      </c>
      <c r="AA18" s="232">
        <f t="shared" si="0"/>
        <v>14471000</v>
      </c>
      <c r="AB18" s="97">
        <v>29.22</v>
      </c>
      <c r="AC18" s="99">
        <f t="shared" si="1"/>
        <v>29.211918123460777</v>
      </c>
      <c r="AD18" s="100" t="s">
        <v>313</v>
      </c>
      <c r="AE18" s="101">
        <f t="shared" si="3"/>
        <v>155948850</v>
      </c>
      <c r="AF18" s="81">
        <f>39/60</f>
        <v>0.65</v>
      </c>
      <c r="AG18" s="102">
        <f t="shared" si="2"/>
        <v>56.503206521739138</v>
      </c>
      <c r="AH18" s="103" t="str">
        <f t="shared" si="4"/>
        <v>Diskominfo</v>
      </c>
      <c r="AI18" s="103"/>
      <c r="AK18" s="179">
        <f t="shared" si="5"/>
        <v>35067000</v>
      </c>
      <c r="AL18" s="179" t="e">
        <f>SUM(#REF!-S18)</f>
        <v>#REF!</v>
      </c>
    </row>
    <row r="19" spans="1:39" s="66" customFormat="1" ht="25.5" x14ac:dyDescent="0.25">
      <c r="A19" s="7"/>
      <c r="B19" s="7"/>
      <c r="C19" s="7"/>
      <c r="D19" s="7"/>
      <c r="E19" s="92" t="s">
        <v>58</v>
      </c>
      <c r="F19" s="93" t="s">
        <v>15</v>
      </c>
      <c r="G19" s="5" t="s">
        <v>84</v>
      </c>
      <c r="H19" s="94" t="s">
        <v>29</v>
      </c>
      <c r="I19" s="95">
        <v>33500000</v>
      </c>
      <c r="J19" s="94" t="s">
        <v>29</v>
      </c>
      <c r="K19" s="95">
        <v>3628600</v>
      </c>
      <c r="L19" s="94" t="s">
        <v>29</v>
      </c>
      <c r="M19" s="95">
        <v>5999700</v>
      </c>
      <c r="N19" s="199" t="s">
        <v>29</v>
      </c>
      <c r="O19" s="95">
        <v>16070300</v>
      </c>
      <c r="P19" s="320" t="s">
        <v>29</v>
      </c>
      <c r="Q19" s="317">
        <v>7000000</v>
      </c>
      <c r="R19" s="199" t="s">
        <v>29</v>
      </c>
      <c r="S19" s="291">
        <v>0</v>
      </c>
      <c r="T19" s="19"/>
      <c r="U19" s="96"/>
      <c r="V19" s="291"/>
      <c r="W19" s="48"/>
      <c r="X19" s="19"/>
      <c r="Y19" s="48"/>
      <c r="Z19" s="199" t="s">
        <v>29</v>
      </c>
      <c r="AA19" s="232">
        <f t="shared" si="0"/>
        <v>0</v>
      </c>
      <c r="AB19" s="97">
        <v>9</v>
      </c>
      <c r="AC19" s="99">
        <f t="shared" si="1"/>
        <v>0</v>
      </c>
      <c r="AD19" s="100" t="s">
        <v>29</v>
      </c>
      <c r="AE19" s="101">
        <f t="shared" si="3"/>
        <v>16070300</v>
      </c>
      <c r="AF19" s="81">
        <v>0.65</v>
      </c>
      <c r="AG19" s="102">
        <f t="shared" si="2"/>
        <v>47.971044776119406</v>
      </c>
      <c r="AH19" s="103" t="str">
        <f t="shared" si="4"/>
        <v>Diskominfo</v>
      </c>
      <c r="AI19" s="103"/>
      <c r="AK19" s="179">
        <f t="shared" si="5"/>
        <v>7000000</v>
      </c>
      <c r="AL19" s="179" t="e">
        <f>SUM(#REF!-S19)</f>
        <v>#REF!</v>
      </c>
    </row>
    <row r="20" spans="1:39" s="66" customFormat="1" ht="25.5" customHeight="1" x14ac:dyDescent="0.25">
      <c r="A20" s="7"/>
      <c r="B20" s="7"/>
      <c r="C20" s="7"/>
      <c r="D20" s="7"/>
      <c r="E20" s="92" t="s">
        <v>59</v>
      </c>
      <c r="F20" s="93" t="s">
        <v>16</v>
      </c>
      <c r="G20" s="5" t="s">
        <v>83</v>
      </c>
      <c r="H20" s="94" t="s">
        <v>29</v>
      </c>
      <c r="I20" s="95">
        <v>33500000</v>
      </c>
      <c r="J20" s="199" t="s">
        <v>29</v>
      </c>
      <c r="K20" s="96">
        <v>4360000</v>
      </c>
      <c r="L20" s="94" t="s">
        <v>29</v>
      </c>
      <c r="M20" s="95">
        <v>3496500</v>
      </c>
      <c r="N20" s="199" t="s">
        <v>29</v>
      </c>
      <c r="O20" s="95">
        <v>12604500</v>
      </c>
      <c r="P20" s="320" t="s">
        <v>29</v>
      </c>
      <c r="Q20" s="317">
        <v>4750000</v>
      </c>
      <c r="R20" s="199" t="s">
        <v>29</v>
      </c>
      <c r="S20" s="291">
        <v>0</v>
      </c>
      <c r="T20" s="19"/>
      <c r="U20" s="96"/>
      <c r="V20" s="291"/>
      <c r="W20" s="48"/>
      <c r="X20" s="19"/>
      <c r="Y20" s="48"/>
      <c r="Z20" s="199" t="s">
        <v>29</v>
      </c>
      <c r="AA20" s="232">
        <f t="shared" si="0"/>
        <v>0</v>
      </c>
      <c r="AB20" s="97">
        <v>0</v>
      </c>
      <c r="AC20" s="99">
        <f t="shared" si="1"/>
        <v>0</v>
      </c>
      <c r="AD20" s="100" t="s">
        <v>29</v>
      </c>
      <c r="AE20" s="101">
        <f t="shared" si="3"/>
        <v>12604500</v>
      </c>
      <c r="AF20" s="81">
        <v>0.65</v>
      </c>
      <c r="AG20" s="102">
        <f t="shared" si="2"/>
        <v>37.625373134328363</v>
      </c>
      <c r="AH20" s="103" t="str">
        <f t="shared" si="4"/>
        <v>Diskominfo</v>
      </c>
      <c r="AI20" s="103"/>
      <c r="AK20" s="179">
        <f t="shared" si="5"/>
        <v>4750000</v>
      </c>
      <c r="AL20" s="179" t="e">
        <f>SUM(#REF!-S20)</f>
        <v>#REF!</v>
      </c>
    </row>
    <row r="21" spans="1:39" s="66" customFormat="1" ht="25.5" customHeight="1" x14ac:dyDescent="0.25">
      <c r="A21" s="7"/>
      <c r="B21" s="7"/>
      <c r="C21" s="7"/>
      <c r="D21" s="7"/>
      <c r="E21" s="92" t="s">
        <v>60</v>
      </c>
      <c r="F21" s="93" t="s">
        <v>17</v>
      </c>
      <c r="G21" s="5" t="s">
        <v>82</v>
      </c>
      <c r="H21" s="94" t="s">
        <v>137</v>
      </c>
      <c r="I21" s="95">
        <v>589500000</v>
      </c>
      <c r="J21" s="94" t="s">
        <v>137</v>
      </c>
      <c r="K21" s="95">
        <v>73754500</v>
      </c>
      <c r="L21" s="94" t="s">
        <v>173</v>
      </c>
      <c r="M21" s="95">
        <v>93047375</v>
      </c>
      <c r="N21" s="199" t="s">
        <v>173</v>
      </c>
      <c r="O21" s="95">
        <v>260707698</v>
      </c>
      <c r="P21" s="320" t="s">
        <v>271</v>
      </c>
      <c r="Q21" s="317">
        <v>111334000</v>
      </c>
      <c r="R21" s="360">
        <v>7</v>
      </c>
      <c r="S21" s="291">
        <v>0</v>
      </c>
      <c r="T21" s="19"/>
      <c r="U21" s="96"/>
      <c r="V21" s="291"/>
      <c r="W21" s="48"/>
      <c r="X21" s="19"/>
      <c r="Y21" s="48"/>
      <c r="Z21" s="317">
        <f>SUM(R21,T21,V21,X21)</f>
        <v>7</v>
      </c>
      <c r="AA21" s="232">
        <f t="shared" si="0"/>
        <v>0</v>
      </c>
      <c r="AB21" s="97">
        <v>26</v>
      </c>
      <c r="AC21" s="99">
        <f t="shared" si="1"/>
        <v>0</v>
      </c>
      <c r="AD21" s="100" t="s">
        <v>137</v>
      </c>
      <c r="AE21" s="101">
        <f t="shared" si="3"/>
        <v>260707698</v>
      </c>
      <c r="AF21" s="81">
        <v>0.65</v>
      </c>
      <c r="AG21" s="102">
        <f t="shared" si="2"/>
        <v>44.22522442748091</v>
      </c>
      <c r="AH21" s="103" t="str">
        <f t="shared" si="4"/>
        <v>Diskominfo</v>
      </c>
      <c r="AI21" s="103"/>
      <c r="AK21" s="179">
        <f t="shared" si="5"/>
        <v>111334000</v>
      </c>
      <c r="AL21" s="179" t="e">
        <f>SUM(#REF!-S21)</f>
        <v>#REF!</v>
      </c>
    </row>
    <row r="22" spans="1:39" s="66" customFormat="1" ht="63.75" x14ac:dyDescent="0.25">
      <c r="A22" s="8"/>
      <c r="B22" s="8"/>
      <c r="C22" s="8"/>
      <c r="D22" s="8"/>
      <c r="E22" s="32" t="s">
        <v>61</v>
      </c>
      <c r="F22" s="16" t="s">
        <v>18</v>
      </c>
      <c r="G22" s="9" t="s">
        <v>81</v>
      </c>
      <c r="H22" s="78" t="s">
        <v>138</v>
      </c>
      <c r="I22" s="104">
        <v>177000000</v>
      </c>
      <c r="J22" s="78" t="s">
        <v>138</v>
      </c>
      <c r="K22" s="104">
        <v>24240000</v>
      </c>
      <c r="L22" s="78" t="s">
        <v>174</v>
      </c>
      <c r="M22" s="104">
        <v>34775000</v>
      </c>
      <c r="N22" s="326" t="s">
        <v>174</v>
      </c>
      <c r="O22" s="95">
        <v>97909000</v>
      </c>
      <c r="P22" s="353" t="s">
        <v>272</v>
      </c>
      <c r="Q22" s="334">
        <v>52923000</v>
      </c>
      <c r="R22" s="361">
        <v>40</v>
      </c>
      <c r="S22" s="296">
        <v>0</v>
      </c>
      <c r="T22" s="296"/>
      <c r="U22" s="297"/>
      <c r="V22" s="296"/>
      <c r="W22" s="50"/>
      <c r="X22" s="296"/>
      <c r="Y22" s="48"/>
      <c r="Z22" s="317">
        <f>SUM(R22,T22,V22,X22)</f>
        <v>40</v>
      </c>
      <c r="AA22" s="232">
        <f t="shared" si="0"/>
        <v>0</v>
      </c>
      <c r="AB22" s="79">
        <v>11</v>
      </c>
      <c r="AC22" s="99">
        <f t="shared" si="1"/>
        <v>0</v>
      </c>
      <c r="AD22" s="80" t="s">
        <v>138</v>
      </c>
      <c r="AE22" s="101">
        <f t="shared" si="3"/>
        <v>97909000</v>
      </c>
      <c r="AF22" s="106">
        <v>0.65</v>
      </c>
      <c r="AG22" s="102">
        <f t="shared" si="2"/>
        <v>55.315819209039553</v>
      </c>
      <c r="AH22" s="69" t="str">
        <f t="shared" si="4"/>
        <v>Diskominfo</v>
      </c>
      <c r="AI22" s="69"/>
      <c r="AK22" s="179">
        <f t="shared" si="5"/>
        <v>52923000</v>
      </c>
      <c r="AL22" s="179" t="e">
        <f>SUM(#REF!-S22)</f>
        <v>#REF!</v>
      </c>
    </row>
    <row r="23" spans="1:39" s="66" customFormat="1" ht="15.75" customHeight="1" x14ac:dyDescent="0.25">
      <c r="A23" s="707" t="s">
        <v>134</v>
      </c>
      <c r="B23" s="708"/>
      <c r="C23" s="708"/>
      <c r="D23" s="708"/>
      <c r="E23" s="708"/>
      <c r="F23" s="708"/>
      <c r="G23" s="708"/>
      <c r="H23" s="708"/>
      <c r="I23" s="708"/>
      <c r="J23" s="708"/>
      <c r="K23" s="708"/>
      <c r="L23" s="708"/>
      <c r="M23" s="708"/>
      <c r="N23" s="708"/>
      <c r="O23" s="708"/>
      <c r="P23" s="708"/>
      <c r="Q23" s="708"/>
      <c r="R23" s="708"/>
      <c r="S23" s="708"/>
      <c r="T23" s="708"/>
      <c r="U23" s="708"/>
      <c r="V23" s="708"/>
      <c r="W23" s="708"/>
      <c r="X23" s="708"/>
      <c r="Y23" s="708"/>
      <c r="Z23" s="708"/>
      <c r="AA23" s="709"/>
      <c r="AB23" s="82"/>
      <c r="AC23" s="83">
        <f>AVERAGE(AC16:AC22)</f>
        <v>7.7393259658193614</v>
      </c>
      <c r="AD23" s="84"/>
      <c r="AE23" s="52"/>
      <c r="AF23" s="85"/>
      <c r="AG23" s="83">
        <f>AVERAGE(AG16:AG22)</f>
        <v>47.35862110689505</v>
      </c>
      <c r="AH23" s="86"/>
      <c r="AI23" s="86"/>
      <c r="AJ23" s="171"/>
    </row>
    <row r="24" spans="1:39" s="66" customFormat="1" ht="27" customHeight="1" x14ac:dyDescent="0.25">
      <c r="A24" s="707" t="s">
        <v>135</v>
      </c>
      <c r="B24" s="708"/>
      <c r="C24" s="708"/>
      <c r="D24" s="708"/>
      <c r="E24" s="708"/>
      <c r="F24" s="708"/>
      <c r="G24" s="708"/>
      <c r="H24" s="708"/>
      <c r="I24" s="708"/>
      <c r="J24" s="708"/>
      <c r="K24" s="708"/>
      <c r="L24" s="708"/>
      <c r="M24" s="708"/>
      <c r="N24" s="708"/>
      <c r="O24" s="708"/>
      <c r="P24" s="708"/>
      <c r="Q24" s="708"/>
      <c r="R24" s="708"/>
      <c r="S24" s="708"/>
      <c r="T24" s="708"/>
      <c r="U24" s="708"/>
      <c r="V24" s="708"/>
      <c r="W24" s="708"/>
      <c r="X24" s="708"/>
      <c r="Y24" s="708"/>
      <c r="Z24" s="708"/>
      <c r="AA24" s="709"/>
      <c r="AB24" s="107"/>
      <c r="AC24" s="157" t="str">
        <f>IF(AC23&lt;=50,"Sangat Rendah",IF(AC23&lt;=65,"Rendah",IF(AC23&lt;=75,"Sedang",IF(AC23&lt;=90,"Tinggi",IF(AC23&lt;=100,"Sangat Tinggi","Salah")))))</f>
        <v>Sangat Rendah</v>
      </c>
      <c r="AD24" s="88"/>
      <c r="AE24" s="53"/>
      <c r="AF24" s="108"/>
      <c r="AG24" s="87" t="str">
        <f>IF(AG23&lt;=50,"Sangat Rendah",IF(AG23&lt;=65,"Rendah",IF(AG23&lt;=75,"Sedang",IF(AG23&lt;=90,"Tinggi",IF(AG23&lt;=100,"Sangat Tinggi","Salah")))))</f>
        <v>Sangat Rendah</v>
      </c>
      <c r="AH24" s="109"/>
      <c r="AI24" s="109"/>
      <c r="AM24" s="89"/>
    </row>
    <row r="25" spans="1:39" s="66" customFormat="1" ht="25.5" x14ac:dyDescent="0.25">
      <c r="A25" s="34" t="s">
        <v>62</v>
      </c>
      <c r="B25" s="35" t="s">
        <v>55</v>
      </c>
      <c r="C25" s="35" t="s">
        <v>54</v>
      </c>
      <c r="D25" s="35" t="s">
        <v>56</v>
      </c>
      <c r="E25" s="35"/>
      <c r="F25" s="17" t="s">
        <v>19</v>
      </c>
      <c r="G25" s="17"/>
      <c r="H25" s="23"/>
      <c r="I25" s="237">
        <f>SUM(I26:I30)</f>
        <v>2508340000</v>
      </c>
      <c r="J25" s="70"/>
      <c r="K25" s="237">
        <f>SUM(K26:K30)</f>
        <v>566784800</v>
      </c>
      <c r="L25" s="70"/>
      <c r="M25" s="237">
        <f>SUM(M26:M30)</f>
        <v>597051065</v>
      </c>
      <c r="N25" s="237"/>
      <c r="O25" s="237">
        <f>SUM(O26:O30)</f>
        <v>1943907135</v>
      </c>
      <c r="P25" s="335"/>
      <c r="Q25" s="336">
        <f>SUM(Q26:Q30)</f>
        <v>376423000</v>
      </c>
      <c r="R25" s="362"/>
      <c r="S25" s="238">
        <f>SUM(S26:S30)</f>
        <v>43335400</v>
      </c>
      <c r="T25" s="15"/>
      <c r="U25" s="238">
        <f>SUM(U26:U30)</f>
        <v>0</v>
      </c>
      <c r="V25" s="15"/>
      <c r="W25" s="238">
        <f>SUM(W26:W30)</f>
        <v>0</v>
      </c>
      <c r="X25" s="322"/>
      <c r="Y25" s="238">
        <f>SUM(Y26:Y30)</f>
        <v>0</v>
      </c>
      <c r="Z25" s="312"/>
      <c r="AA25" s="239">
        <f>SUM(AA26:AA30)</f>
        <v>43335400</v>
      </c>
      <c r="AB25" s="239"/>
      <c r="AC25" s="99">
        <f t="shared" ref="AC25:AC30" si="6">AA25/Q25*100</f>
        <v>11.512420866950212</v>
      </c>
      <c r="AD25" s="240"/>
      <c r="AE25" s="239">
        <f>SUM(AE26:AE30)</f>
        <v>1987242535</v>
      </c>
      <c r="AF25" s="70"/>
      <c r="AG25" s="241"/>
      <c r="AH25" s="76"/>
      <c r="AI25" s="76"/>
      <c r="AM25" s="89"/>
    </row>
    <row r="26" spans="1:39" s="66" customFormat="1" ht="25.5" customHeight="1" x14ac:dyDescent="0.25">
      <c r="A26" s="7"/>
      <c r="B26" s="7"/>
      <c r="C26" s="7"/>
      <c r="D26" s="7"/>
      <c r="E26" s="92" t="s">
        <v>66</v>
      </c>
      <c r="F26" s="93" t="s">
        <v>301</v>
      </c>
      <c r="G26" s="5" t="s">
        <v>80</v>
      </c>
      <c r="H26" s="111" t="s">
        <v>289</v>
      </c>
      <c r="I26" s="114">
        <v>622000000</v>
      </c>
      <c r="J26" s="94" t="s">
        <v>180</v>
      </c>
      <c r="K26" s="113">
        <v>45000000</v>
      </c>
      <c r="L26" s="115" t="s">
        <v>186</v>
      </c>
      <c r="M26" s="113">
        <v>309991000</v>
      </c>
      <c r="N26" s="327" t="s">
        <v>186</v>
      </c>
      <c r="O26" s="113">
        <v>717126740</v>
      </c>
      <c r="P26" s="319" t="s">
        <v>273</v>
      </c>
      <c r="Q26" s="337">
        <v>7000000</v>
      </c>
      <c r="R26" s="359"/>
      <c r="S26" s="48">
        <v>0</v>
      </c>
      <c r="T26" s="19"/>
      <c r="U26" s="96"/>
      <c r="V26" s="19"/>
      <c r="W26" s="96"/>
      <c r="X26" s="111"/>
      <c r="Y26" s="48"/>
      <c r="Z26" s="318">
        <f>X26</f>
        <v>0</v>
      </c>
      <c r="AA26" s="236">
        <f>SUM(S26,U26,W26,Y26)</f>
        <v>0</v>
      </c>
      <c r="AB26" s="97">
        <v>0</v>
      </c>
      <c r="AC26" s="99">
        <f t="shared" si="6"/>
        <v>0</v>
      </c>
      <c r="AD26" s="100"/>
      <c r="AE26" s="101">
        <f>O26+AA26</f>
        <v>717126740</v>
      </c>
      <c r="AF26" s="81"/>
      <c r="AG26" s="54">
        <f>SUM(AE26/I26)*100</f>
        <v>115.29368810289388</v>
      </c>
      <c r="AH26" s="103" t="str">
        <f>AH19</f>
        <v>Diskominfo</v>
      </c>
      <c r="AI26" s="103"/>
      <c r="AK26" s="179">
        <f>SUM(Q26-AA26)</f>
        <v>7000000</v>
      </c>
      <c r="AL26" s="179" t="e">
        <f>SUM(#REF!-S26)</f>
        <v>#REF!</v>
      </c>
    </row>
    <row r="27" spans="1:39" s="66" customFormat="1" ht="25.5" customHeight="1" x14ac:dyDescent="0.25">
      <c r="A27" s="7"/>
      <c r="B27" s="7"/>
      <c r="C27" s="7"/>
      <c r="D27" s="7"/>
      <c r="E27" s="92" t="s">
        <v>67</v>
      </c>
      <c r="F27" s="93" t="s">
        <v>63</v>
      </c>
      <c r="G27" s="5" t="s">
        <v>79</v>
      </c>
      <c r="H27" s="111" t="s">
        <v>89</v>
      </c>
      <c r="I27" s="114">
        <v>300000000</v>
      </c>
      <c r="J27" s="115" t="s">
        <v>198</v>
      </c>
      <c r="K27" s="113">
        <v>291757800</v>
      </c>
      <c r="L27" s="94" t="s">
        <v>89</v>
      </c>
      <c r="M27" s="113">
        <v>7320000</v>
      </c>
      <c r="N27" s="199" t="s">
        <v>89</v>
      </c>
      <c r="O27" s="113">
        <v>306397800</v>
      </c>
      <c r="P27" s="319" t="s">
        <v>89</v>
      </c>
      <c r="Q27" s="337">
        <v>15866000</v>
      </c>
      <c r="R27" s="363"/>
      <c r="S27" s="48">
        <v>4950000</v>
      </c>
      <c r="T27" s="111"/>
      <c r="U27" s="96"/>
      <c r="V27" s="111"/>
      <c r="W27" s="48"/>
      <c r="X27" s="19"/>
      <c r="Y27" s="48"/>
      <c r="Z27" s="317">
        <f>V27</f>
        <v>0</v>
      </c>
      <c r="AA27" s="236">
        <f>SUM(S27,U27,W27,Y27)</f>
        <v>4950000</v>
      </c>
      <c r="AB27" s="97">
        <v>9</v>
      </c>
      <c r="AC27" s="99">
        <f t="shared" si="6"/>
        <v>31.198789865120386</v>
      </c>
      <c r="AD27" s="100"/>
      <c r="AE27" s="101">
        <f>O27+AA27</f>
        <v>311347800</v>
      </c>
      <c r="AF27" s="81"/>
      <c r="AG27" s="54">
        <f>SUM(AE27/I27)*100</f>
        <v>103.78259999999999</v>
      </c>
      <c r="AH27" s="103" t="str">
        <f>AH26</f>
        <v>Diskominfo</v>
      </c>
      <c r="AI27" s="103"/>
      <c r="AK27" s="179">
        <f>SUM(Q27-AA27)</f>
        <v>10916000</v>
      </c>
      <c r="AL27" s="179" t="e">
        <f>SUM(#REF!-S27)</f>
        <v>#REF!</v>
      </c>
    </row>
    <row r="28" spans="1:39" s="66" customFormat="1" ht="47.25" customHeight="1" x14ac:dyDescent="0.25">
      <c r="B28" s="7"/>
      <c r="C28" s="7"/>
      <c r="D28" s="7"/>
      <c r="E28" s="92" t="s">
        <v>68</v>
      </c>
      <c r="F28" s="93" t="s">
        <v>20</v>
      </c>
      <c r="G28" s="5" t="s">
        <v>78</v>
      </c>
      <c r="H28" s="111" t="s">
        <v>306</v>
      </c>
      <c r="I28" s="112">
        <v>910320000</v>
      </c>
      <c r="J28" s="94" t="s">
        <v>91</v>
      </c>
      <c r="K28" s="113">
        <v>54606000</v>
      </c>
      <c r="L28" s="115" t="s">
        <v>175</v>
      </c>
      <c r="M28" s="113">
        <v>135612565</v>
      </c>
      <c r="N28" s="327" t="s">
        <v>175</v>
      </c>
      <c r="O28" s="113">
        <v>301301095</v>
      </c>
      <c r="P28" s="319" t="s">
        <v>274</v>
      </c>
      <c r="Q28" s="338">
        <v>148964000</v>
      </c>
      <c r="R28" s="319"/>
      <c r="S28" s="48">
        <v>22695250</v>
      </c>
      <c r="T28" s="111"/>
      <c r="U28" s="96"/>
      <c r="V28" s="111"/>
      <c r="W28" s="48"/>
      <c r="X28" s="19"/>
      <c r="Y28" s="48"/>
      <c r="Z28" s="319" t="s">
        <v>194</v>
      </c>
      <c r="AA28" s="236">
        <f>SUM(S28,U28,W28,Y28)</f>
        <v>22695250</v>
      </c>
      <c r="AB28" s="319">
        <v>17</v>
      </c>
      <c r="AC28" s="99">
        <f t="shared" si="6"/>
        <v>15.235392443811927</v>
      </c>
      <c r="AD28" s="100"/>
      <c r="AE28" s="101">
        <f>O28+AA28</f>
        <v>323996345</v>
      </c>
      <c r="AF28" s="81"/>
      <c r="AG28" s="54">
        <f>SUM(AE28/I28)*100</f>
        <v>35.591478271377099</v>
      </c>
      <c r="AH28" s="103" t="str">
        <f>AH26</f>
        <v>Diskominfo</v>
      </c>
      <c r="AI28" s="103"/>
      <c r="AK28" s="179">
        <f>SUM(Q28-AA28)</f>
        <v>126268750</v>
      </c>
      <c r="AL28" s="179" t="e">
        <f>SUM(#REF!-S28)</f>
        <v>#REF!</v>
      </c>
    </row>
    <row r="29" spans="1:39" s="66" customFormat="1" ht="42" customHeight="1" x14ac:dyDescent="0.25">
      <c r="A29" s="7"/>
      <c r="B29" s="7"/>
      <c r="C29" s="7"/>
      <c r="D29" s="7"/>
      <c r="E29" s="92" t="s">
        <v>69</v>
      </c>
      <c r="F29" s="93" t="s">
        <v>64</v>
      </c>
      <c r="G29" s="5" t="s">
        <v>77</v>
      </c>
      <c r="H29" s="111" t="s">
        <v>90</v>
      </c>
      <c r="I29" s="112">
        <v>326020000</v>
      </c>
      <c r="J29" s="115" t="s">
        <v>197</v>
      </c>
      <c r="K29" s="113">
        <v>122411000</v>
      </c>
      <c r="L29" s="115" t="s">
        <v>88</v>
      </c>
      <c r="M29" s="113">
        <v>47042500</v>
      </c>
      <c r="N29" s="327" t="s">
        <v>88</v>
      </c>
      <c r="O29" s="113">
        <v>220548500</v>
      </c>
      <c r="P29" s="319" t="s">
        <v>275</v>
      </c>
      <c r="Q29" s="338">
        <v>48593000</v>
      </c>
      <c r="R29" s="359"/>
      <c r="S29" s="48">
        <v>15690150</v>
      </c>
      <c r="T29" s="19"/>
      <c r="U29" s="96"/>
      <c r="V29" s="292"/>
      <c r="W29" s="48"/>
      <c r="X29" s="19"/>
      <c r="Y29" s="48"/>
      <c r="Z29" s="317">
        <f>SUM(R29,T29,V29,X29)</f>
        <v>0</v>
      </c>
      <c r="AA29" s="236">
        <f>SUM(S29,U29,W29,Y29)</f>
        <v>15690150</v>
      </c>
      <c r="AB29" s="97">
        <v>8</v>
      </c>
      <c r="AC29" s="99">
        <f t="shared" si="6"/>
        <v>32.28890992529788</v>
      </c>
      <c r="AD29" s="100"/>
      <c r="AE29" s="101">
        <f>O29+AA29</f>
        <v>236238650</v>
      </c>
      <c r="AF29" s="81"/>
      <c r="AG29" s="54">
        <f>SUM(AE29/I29)*100</f>
        <v>72.461398073737797</v>
      </c>
      <c r="AH29" s="103" t="str">
        <f>AH27</f>
        <v>Diskominfo</v>
      </c>
      <c r="AI29" s="103"/>
      <c r="AK29" s="179">
        <f>SUM(Q29-AA29)</f>
        <v>32902850</v>
      </c>
      <c r="AL29" s="179" t="e">
        <f>SUM(#REF!-S29)</f>
        <v>#REF!</v>
      </c>
    </row>
    <row r="30" spans="1:39" s="66" customFormat="1" ht="25.5" x14ac:dyDescent="0.25">
      <c r="A30" s="116"/>
      <c r="B30" s="116"/>
      <c r="C30" s="116"/>
      <c r="D30" s="116"/>
      <c r="E30" s="117" t="s">
        <v>70</v>
      </c>
      <c r="F30" s="118" t="s">
        <v>65</v>
      </c>
      <c r="G30" s="119" t="s">
        <v>76</v>
      </c>
      <c r="H30" s="120" t="s">
        <v>91</v>
      </c>
      <c r="I30" s="121">
        <v>350000000</v>
      </c>
      <c r="J30" s="115" t="s">
        <v>88</v>
      </c>
      <c r="K30" s="113">
        <v>53010000</v>
      </c>
      <c r="L30" s="120" t="s">
        <v>91</v>
      </c>
      <c r="M30" s="122">
        <v>97085000</v>
      </c>
      <c r="N30" s="120" t="s">
        <v>91</v>
      </c>
      <c r="O30" s="113">
        <v>398533000</v>
      </c>
      <c r="P30" s="339" t="s">
        <v>89</v>
      </c>
      <c r="Q30" s="340">
        <v>156000000</v>
      </c>
      <c r="R30" s="364"/>
      <c r="S30" s="125">
        <v>0</v>
      </c>
      <c r="T30" s="124"/>
      <c r="U30" s="293"/>
      <c r="V30" s="294"/>
      <c r="W30" s="293"/>
      <c r="X30" s="124"/>
      <c r="Y30" s="48"/>
      <c r="Z30" s="317">
        <f>SUM(R30,T30,V30,X30)</f>
        <v>0</v>
      </c>
      <c r="AA30" s="236">
        <f>SUM(S30,U30,W30,Y30)</f>
        <v>0</v>
      </c>
      <c r="AB30" s="126">
        <v>0</v>
      </c>
      <c r="AC30" s="99">
        <f t="shared" si="6"/>
        <v>0</v>
      </c>
      <c r="AD30" s="127"/>
      <c r="AE30" s="101">
        <f>O30+AA30</f>
        <v>398533000</v>
      </c>
      <c r="AF30" s="128"/>
      <c r="AG30" s="54">
        <f>SUM(AE30/I30)*100</f>
        <v>113.86657142857143</v>
      </c>
      <c r="AH30" s="123" t="str">
        <f>AH27</f>
        <v>Diskominfo</v>
      </c>
      <c r="AI30" s="123"/>
      <c r="AK30" s="179">
        <f>SUM(Q30-AA30)</f>
        <v>156000000</v>
      </c>
      <c r="AL30" s="179" t="e">
        <f>SUM(#REF!-S30)</f>
        <v>#REF!</v>
      </c>
    </row>
    <row r="31" spans="1:39" s="66" customFormat="1" ht="15.75" customHeight="1" x14ac:dyDescent="0.25">
      <c r="A31" s="707" t="s">
        <v>134</v>
      </c>
      <c r="B31" s="708"/>
      <c r="C31" s="708"/>
      <c r="D31" s="708"/>
      <c r="E31" s="708"/>
      <c r="F31" s="708"/>
      <c r="G31" s="708"/>
      <c r="H31" s="708"/>
      <c r="I31" s="708"/>
      <c r="J31" s="708"/>
      <c r="K31" s="708"/>
      <c r="L31" s="708"/>
      <c r="M31" s="708"/>
      <c r="N31" s="708"/>
      <c r="O31" s="708"/>
      <c r="P31" s="708"/>
      <c r="Q31" s="708"/>
      <c r="R31" s="708"/>
      <c r="S31" s="708"/>
      <c r="T31" s="708"/>
      <c r="U31" s="708"/>
      <c r="V31" s="708"/>
      <c r="W31" s="708"/>
      <c r="X31" s="708"/>
      <c r="Y31" s="708"/>
      <c r="Z31" s="708"/>
      <c r="AA31" s="709"/>
      <c r="AB31" s="82"/>
      <c r="AC31" s="83">
        <f>AVERAGE(AC26:AC30)</f>
        <v>15.744618446846038</v>
      </c>
      <c r="AD31" s="84"/>
      <c r="AE31" s="52"/>
      <c r="AF31" s="85"/>
      <c r="AG31" s="83">
        <f>AVERAGE(AG26:AG30)</f>
        <v>88.199147175316028</v>
      </c>
      <c r="AH31" s="86"/>
      <c r="AI31" s="86"/>
    </row>
    <row r="32" spans="1:39" s="66" customFormat="1" ht="29.25" customHeight="1" x14ac:dyDescent="0.25">
      <c r="A32" s="707" t="s">
        <v>135</v>
      </c>
      <c r="B32" s="708"/>
      <c r="C32" s="708"/>
      <c r="D32" s="708"/>
      <c r="E32" s="708"/>
      <c r="F32" s="708"/>
      <c r="G32" s="708"/>
      <c r="H32" s="708"/>
      <c r="I32" s="708"/>
      <c r="J32" s="708"/>
      <c r="K32" s="708"/>
      <c r="L32" s="708"/>
      <c r="M32" s="708"/>
      <c r="N32" s="708"/>
      <c r="O32" s="708"/>
      <c r="P32" s="708"/>
      <c r="Q32" s="708"/>
      <c r="R32" s="708"/>
      <c r="S32" s="708"/>
      <c r="T32" s="708"/>
      <c r="U32" s="708"/>
      <c r="V32" s="708"/>
      <c r="W32" s="708"/>
      <c r="X32" s="708"/>
      <c r="Y32" s="708"/>
      <c r="Z32" s="708"/>
      <c r="AA32" s="709"/>
      <c r="AB32" s="107"/>
      <c r="AC32" s="87" t="str">
        <f>IF(AC31&lt;=50,"Sangat Rendah",IF(AC31&lt;=65,"Rendah",IF(AC31&lt;=75,"Sedang",IF(AC31&lt;=90,"Tinggi",IF(AC31&lt;=100,"Sangat Tinggi","Salah")))))</f>
        <v>Sangat Rendah</v>
      </c>
      <c r="AD32" s="88"/>
      <c r="AE32" s="52"/>
      <c r="AF32" s="108"/>
      <c r="AG32" s="87" t="str">
        <f>IF(AG31&lt;=50,"Sangat Rendah",IF(AG31&lt;=65,"Rendah",IF(AG31&lt;=75,"Sedang",IF(AG31&lt;=90,"Tinggi",IF(AG31&lt;=100,"Sangat Tinggi","Salah")))))</f>
        <v>Tinggi</v>
      </c>
      <c r="AH32" s="109"/>
      <c r="AI32" s="109"/>
      <c r="AM32" s="89"/>
    </row>
    <row r="33" spans="1:39" s="66" customFormat="1" ht="51" x14ac:dyDescent="0.25">
      <c r="A33" s="29" t="s">
        <v>71</v>
      </c>
      <c r="B33" s="30" t="s">
        <v>55</v>
      </c>
      <c r="C33" s="30" t="s">
        <v>54</v>
      </c>
      <c r="D33" s="30" t="s">
        <v>72</v>
      </c>
      <c r="E33" s="30"/>
      <c r="F33" s="33" t="s">
        <v>21</v>
      </c>
      <c r="G33" s="17"/>
      <c r="H33" s="70"/>
      <c r="I33" s="71">
        <f>SUM(I34)</f>
        <v>75000000</v>
      </c>
      <c r="J33" s="202"/>
      <c r="K33" s="71">
        <f>SUM(K34)</f>
        <v>10000000</v>
      </c>
      <c r="L33" s="70"/>
      <c r="M33" s="71">
        <f>SUM(M34)</f>
        <v>9929000</v>
      </c>
      <c r="N33" s="71"/>
      <c r="O33" s="71">
        <f>SUM(O34)</f>
        <v>41028830</v>
      </c>
      <c r="P33" s="341">
        <f>SUM(P34)</f>
        <v>0</v>
      </c>
      <c r="Q33" s="341">
        <f>SUM(Q34)</f>
        <v>22000000</v>
      </c>
      <c r="R33" s="15"/>
      <c r="S33" s="71">
        <f>SUM(S34)</f>
        <v>0</v>
      </c>
      <c r="T33" s="10"/>
      <c r="U33" s="71">
        <f>SUM(U34)</f>
        <v>0</v>
      </c>
      <c r="V33" s="10"/>
      <c r="W33" s="72">
        <f>SUM(W34)</f>
        <v>0</v>
      </c>
      <c r="X33" s="18"/>
      <c r="Y33" s="72">
        <f>SUM(Y34)</f>
        <v>0</v>
      </c>
      <c r="Z33" s="310"/>
      <c r="AA33" s="63">
        <f>SUM(AA34)</f>
        <v>0</v>
      </c>
      <c r="AB33" s="73"/>
      <c r="AC33" s="99">
        <f>AA33/Q33*100</f>
        <v>0</v>
      </c>
      <c r="AD33" s="74"/>
      <c r="AE33" s="63">
        <f>SUM(AE34)</f>
        <v>41028830</v>
      </c>
      <c r="AF33" s="70"/>
      <c r="AG33" s="75"/>
      <c r="AH33" s="76"/>
      <c r="AI33" s="76"/>
    </row>
    <row r="34" spans="1:39" s="66" customFormat="1" ht="38.25" x14ac:dyDescent="0.25">
      <c r="A34" s="8"/>
      <c r="B34" s="8"/>
      <c r="C34" s="8"/>
      <c r="D34" s="8"/>
      <c r="E34" s="32" t="s">
        <v>54</v>
      </c>
      <c r="F34" s="9" t="s">
        <v>22</v>
      </c>
      <c r="G34" s="16" t="s">
        <v>75</v>
      </c>
      <c r="H34" s="78" t="s">
        <v>139</v>
      </c>
      <c r="I34" s="77">
        <v>75000000</v>
      </c>
      <c r="J34" s="78" t="s">
        <v>139</v>
      </c>
      <c r="K34" s="77">
        <v>10000000</v>
      </c>
      <c r="L34" s="78" t="s">
        <v>139</v>
      </c>
      <c r="M34" s="77">
        <v>9929000</v>
      </c>
      <c r="N34" s="326" t="s">
        <v>139</v>
      </c>
      <c r="O34" s="77">
        <v>41028830</v>
      </c>
      <c r="P34" s="342" t="s">
        <v>276</v>
      </c>
      <c r="Q34" s="343">
        <v>22000000</v>
      </c>
      <c r="R34" s="295"/>
      <c r="S34" s="50">
        <v>0</v>
      </c>
      <c r="T34" s="296"/>
      <c r="U34" s="297"/>
      <c r="V34" s="296"/>
      <c r="W34" s="105"/>
      <c r="X34" s="20"/>
      <c r="Y34" s="48"/>
      <c r="Z34" s="317">
        <v>15</v>
      </c>
      <c r="AA34" s="236">
        <f>SUM(Y34,W34,U34,S34)</f>
        <v>0</v>
      </c>
      <c r="AB34" s="79">
        <v>15</v>
      </c>
      <c r="AC34" s="99">
        <f>AA34/Q34*100</f>
        <v>0</v>
      </c>
      <c r="AD34" s="80"/>
      <c r="AE34" s="101">
        <f>O34+AA34</f>
        <v>41028830</v>
      </c>
      <c r="AF34" s="81"/>
      <c r="AG34" s="178">
        <f>SUM(AE34/I34)*100</f>
        <v>54.705106666666673</v>
      </c>
      <c r="AH34" s="69" t="s">
        <v>31</v>
      </c>
      <c r="AI34" s="69"/>
      <c r="AK34" s="179">
        <f>SUM(Q34-AA34)</f>
        <v>22000000</v>
      </c>
      <c r="AL34" s="179" t="e">
        <f>SUM(#REF!-S34)</f>
        <v>#REF!</v>
      </c>
    </row>
    <row r="35" spans="1:39" s="66" customFormat="1" ht="15.75" customHeight="1" x14ac:dyDescent="0.25">
      <c r="A35" s="707" t="s">
        <v>134</v>
      </c>
      <c r="B35" s="708"/>
      <c r="C35" s="708"/>
      <c r="D35" s="708"/>
      <c r="E35" s="708"/>
      <c r="F35" s="708"/>
      <c r="G35" s="708"/>
      <c r="H35" s="708"/>
      <c r="I35" s="708"/>
      <c r="J35" s="708"/>
      <c r="K35" s="708"/>
      <c r="L35" s="708"/>
      <c r="M35" s="708"/>
      <c r="N35" s="708"/>
      <c r="O35" s="708"/>
      <c r="P35" s="708"/>
      <c r="Q35" s="708"/>
      <c r="R35" s="708"/>
      <c r="S35" s="708"/>
      <c r="T35" s="708"/>
      <c r="U35" s="708"/>
      <c r="V35" s="708"/>
      <c r="W35" s="708"/>
      <c r="X35" s="708"/>
      <c r="Y35" s="708"/>
      <c r="Z35" s="708"/>
      <c r="AA35" s="709"/>
      <c r="AB35" s="82"/>
      <c r="AC35" s="83">
        <f>AVERAGE(AC34)</f>
        <v>0</v>
      </c>
      <c r="AD35" s="84"/>
      <c r="AE35" s="52"/>
      <c r="AF35" s="85"/>
      <c r="AG35" s="83">
        <f>AVERAGE(AG34)</f>
        <v>54.705106666666673</v>
      </c>
      <c r="AH35" s="86"/>
      <c r="AI35" s="86"/>
    </row>
    <row r="36" spans="1:39" s="66" customFormat="1" ht="30" customHeight="1" x14ac:dyDescent="0.25">
      <c r="A36" s="707" t="s">
        <v>135</v>
      </c>
      <c r="B36" s="708"/>
      <c r="C36" s="708"/>
      <c r="D36" s="708"/>
      <c r="E36" s="708"/>
      <c r="F36" s="708"/>
      <c r="G36" s="708"/>
      <c r="H36" s="708"/>
      <c r="I36" s="708"/>
      <c r="J36" s="708"/>
      <c r="K36" s="708"/>
      <c r="L36" s="708"/>
      <c r="M36" s="708"/>
      <c r="N36" s="708"/>
      <c r="O36" s="708"/>
      <c r="P36" s="708"/>
      <c r="Q36" s="708"/>
      <c r="R36" s="708"/>
      <c r="S36" s="708"/>
      <c r="T36" s="708"/>
      <c r="U36" s="708"/>
      <c r="V36" s="708"/>
      <c r="W36" s="708"/>
      <c r="X36" s="708"/>
      <c r="Y36" s="708"/>
      <c r="Z36" s="708"/>
      <c r="AA36" s="709"/>
      <c r="AB36" s="82"/>
      <c r="AC36" s="87" t="str">
        <f>IF(AC35&lt;=50,"Sangat Rendah",IF(AC35&lt;=65,"Rendah",IF(AC35&lt;=75,"Sedang",IF(AC35&lt;=90,"Tinggi",IF(AC35&lt;=100,"Sangat Tinggi","Salah")))))</f>
        <v>Sangat Rendah</v>
      </c>
      <c r="AD36" s="88"/>
      <c r="AE36" s="52"/>
      <c r="AF36" s="85"/>
      <c r="AG36" s="87" t="str">
        <f>IF(AG35&lt;=50,"Sangat Rendah",IF(AG35&lt;=65,"Rendah",IF(AG35&lt;=75,"Sedang",IF(AG35&lt;=90,"Tinggi",IF(AG35&lt;=100,"Sangat Tinggi","Salah")))))</f>
        <v>Rendah</v>
      </c>
      <c r="AH36" s="86"/>
      <c r="AI36" s="86"/>
      <c r="AM36" s="89"/>
    </row>
    <row r="37" spans="1:39" s="66" customFormat="1" ht="38.25" x14ac:dyDescent="0.25">
      <c r="A37" s="29" t="s">
        <v>73</v>
      </c>
      <c r="B37" s="30" t="s">
        <v>55</v>
      </c>
      <c r="C37" s="30" t="s">
        <v>54</v>
      </c>
      <c r="D37" s="30" t="s">
        <v>74</v>
      </c>
      <c r="E37" s="7"/>
      <c r="F37" s="28" t="s">
        <v>23</v>
      </c>
      <c r="G37" s="4"/>
      <c r="H37" s="24"/>
      <c r="I37" s="110">
        <f>SUM(I38:I44)</f>
        <v>5749826500</v>
      </c>
      <c r="J37" s="207"/>
      <c r="K37" s="110">
        <f>SUM(K38:K44)</f>
        <v>1658341500</v>
      </c>
      <c r="L37" s="129"/>
      <c r="M37" s="110">
        <f>SUM(M38:M44)</f>
        <v>847985630</v>
      </c>
      <c r="N37" s="139"/>
      <c r="O37" s="110">
        <f>SUM(O38:O44)</f>
        <v>3751182603</v>
      </c>
      <c r="P37" s="315"/>
      <c r="Q37" s="344">
        <f>SUM(Q38:Q48)</f>
        <v>1569117000</v>
      </c>
      <c r="R37" s="7"/>
      <c r="S37" s="130">
        <f>SUM(S38:S48)</f>
        <v>57432700</v>
      </c>
      <c r="T37" s="7"/>
      <c r="U37" s="130">
        <f>SUM(U38:U44)</f>
        <v>0</v>
      </c>
      <c r="V37" s="7"/>
      <c r="W37" s="130">
        <f>SUM(W38:W44)</f>
        <v>0</v>
      </c>
      <c r="X37" s="19"/>
      <c r="Y37" s="130">
        <f>SUM(Y38:Y44)</f>
        <v>0</v>
      </c>
      <c r="Z37" s="311"/>
      <c r="AA37" s="130">
        <f>SUM(AA38:AA48)</f>
        <v>57432700</v>
      </c>
      <c r="AB37" s="63"/>
      <c r="AC37" s="99">
        <f>AA37/Q37*100</f>
        <v>3.6601923247278565</v>
      </c>
      <c r="AD37" s="64"/>
      <c r="AE37" s="130">
        <f>SUM(AE38:AE44)</f>
        <v>3806517103</v>
      </c>
      <c r="AF37" s="62"/>
      <c r="AG37" s="62"/>
      <c r="AH37" s="65"/>
      <c r="AI37" s="65"/>
    </row>
    <row r="38" spans="1:39" s="66" customFormat="1" ht="40.5" customHeight="1" x14ac:dyDescent="0.25">
      <c r="A38" s="7"/>
      <c r="B38" s="7"/>
      <c r="C38" s="7"/>
      <c r="D38" s="7"/>
      <c r="E38" s="26" t="s">
        <v>66</v>
      </c>
      <c r="F38" s="6" t="s">
        <v>24</v>
      </c>
      <c r="G38" s="3" t="s">
        <v>46</v>
      </c>
      <c r="H38" s="21" t="s">
        <v>152</v>
      </c>
      <c r="I38" s="220">
        <v>2952550000</v>
      </c>
      <c r="J38" s="129"/>
      <c r="K38" s="196">
        <f>SUM(K39:K61)</f>
        <v>855170750</v>
      </c>
      <c r="L38" s="115" t="s">
        <v>187</v>
      </c>
      <c r="M38" s="113">
        <v>394856290</v>
      </c>
      <c r="N38" s="327" t="s">
        <v>187</v>
      </c>
      <c r="O38" s="113">
        <v>1650025823</v>
      </c>
      <c r="P38" s="315" t="s">
        <v>187</v>
      </c>
      <c r="Q38" s="345">
        <v>493520000</v>
      </c>
      <c r="R38" s="292"/>
      <c r="S38" s="48">
        <v>23991400</v>
      </c>
      <c r="T38" s="292"/>
      <c r="U38" s="48"/>
      <c r="V38" s="292"/>
      <c r="W38" s="48"/>
      <c r="X38" s="19"/>
      <c r="Y38" s="48"/>
      <c r="Z38" s="320" t="s">
        <v>254</v>
      </c>
      <c r="AA38" s="236">
        <f>SUM(S38,U38,W38,Y38)</f>
        <v>23991400</v>
      </c>
      <c r="AB38" s="97">
        <v>30</v>
      </c>
      <c r="AC38" s="99">
        <f>AA38/Q38*100</f>
        <v>4.8612822175393093</v>
      </c>
      <c r="AD38" s="100"/>
      <c r="AE38" s="101">
        <f t="shared" ref="AE38:AE44" si="7">O38+AA38</f>
        <v>1674017223</v>
      </c>
      <c r="AF38" s="81"/>
      <c r="AG38" s="54">
        <f t="shared" ref="AG38:AG44" si="8">SUM(AE38/I38)*100</f>
        <v>56.697336979898729</v>
      </c>
      <c r="AH38" s="103" t="s">
        <v>31</v>
      </c>
      <c r="AI38" s="103"/>
      <c r="AK38" s="179">
        <f>SUM(Q38-AA38)</f>
        <v>469528600</v>
      </c>
      <c r="AL38" s="179" t="e">
        <f>SUM(#REF!-S38)</f>
        <v>#REF!</v>
      </c>
    </row>
    <row r="39" spans="1:39" s="66" customFormat="1" ht="39.75" customHeight="1" x14ac:dyDescent="0.25">
      <c r="A39" s="7"/>
      <c r="B39" s="7"/>
      <c r="C39" s="7"/>
      <c r="D39" s="7"/>
      <c r="E39" s="26" t="s">
        <v>95</v>
      </c>
      <c r="F39" s="6" t="s">
        <v>96</v>
      </c>
      <c r="G39" s="3" t="s">
        <v>97</v>
      </c>
      <c r="H39" s="21" t="s">
        <v>98</v>
      </c>
      <c r="I39" s="220">
        <v>1170576500</v>
      </c>
      <c r="J39" s="115" t="s">
        <v>140</v>
      </c>
      <c r="K39" s="113">
        <v>76536550</v>
      </c>
      <c r="L39" s="115" t="s">
        <v>154</v>
      </c>
      <c r="M39" s="113">
        <v>148266940</v>
      </c>
      <c r="N39" s="327" t="s">
        <v>154</v>
      </c>
      <c r="O39" s="113">
        <v>467782040</v>
      </c>
      <c r="P39" s="315" t="s">
        <v>98</v>
      </c>
      <c r="Q39" s="345">
        <v>240982000</v>
      </c>
      <c r="R39" s="14"/>
      <c r="S39" s="48">
        <v>4781000</v>
      </c>
      <c r="T39" s="14"/>
      <c r="U39" s="48"/>
      <c r="V39" s="14"/>
      <c r="W39" s="48"/>
      <c r="X39" s="19"/>
      <c r="Y39" s="48"/>
      <c r="Z39" s="315" t="s">
        <v>98</v>
      </c>
      <c r="AA39" s="236">
        <f t="shared" ref="AA39:AA48" si="9">SUM(S39,U39,W39,Y39)</f>
        <v>4781000</v>
      </c>
      <c r="AB39" s="97">
        <v>50</v>
      </c>
      <c r="AC39" s="99">
        <f t="shared" ref="AC39:AC48" si="10">AA39/Q39*100</f>
        <v>1.9839656073897636</v>
      </c>
      <c r="AD39" s="100"/>
      <c r="AE39" s="101">
        <f t="shared" si="7"/>
        <v>472563040</v>
      </c>
      <c r="AF39" s="81"/>
      <c r="AG39" s="54">
        <f t="shared" si="8"/>
        <v>40.370111650114282</v>
      </c>
      <c r="AH39" s="103" t="s">
        <v>31</v>
      </c>
      <c r="AI39" s="103"/>
      <c r="AK39" s="179">
        <f>SUM(Q39-AA39)</f>
        <v>236201000</v>
      </c>
      <c r="AL39" s="179" t="e">
        <f>SUM(#REF!-S39)</f>
        <v>#REF!</v>
      </c>
    </row>
    <row r="40" spans="1:39" s="66" customFormat="1" ht="53.25" customHeight="1" x14ac:dyDescent="0.25">
      <c r="A40" s="7"/>
      <c r="B40" s="7"/>
      <c r="C40" s="7"/>
      <c r="D40" s="7"/>
      <c r="E40" s="26" t="s">
        <v>74</v>
      </c>
      <c r="F40" s="6" t="s">
        <v>100</v>
      </c>
      <c r="G40" s="3" t="s">
        <v>101</v>
      </c>
      <c r="H40" s="21" t="s">
        <v>157</v>
      </c>
      <c r="I40" s="131">
        <v>503650000</v>
      </c>
      <c r="J40" s="115" t="s">
        <v>141</v>
      </c>
      <c r="K40" s="113">
        <v>433434000</v>
      </c>
      <c r="L40" s="115" t="s">
        <v>155</v>
      </c>
      <c r="M40" s="113">
        <v>73650000</v>
      </c>
      <c r="N40" s="327" t="s">
        <v>155</v>
      </c>
      <c r="O40" s="113">
        <v>651128350</v>
      </c>
      <c r="P40" s="315" t="s">
        <v>102</v>
      </c>
      <c r="Q40" s="345">
        <v>75000000</v>
      </c>
      <c r="R40" s="19"/>
      <c r="S40" s="48">
        <v>0</v>
      </c>
      <c r="T40" s="19"/>
      <c r="U40" s="48"/>
      <c r="V40" s="19"/>
      <c r="W40" s="48"/>
      <c r="X40" s="19"/>
      <c r="Y40" s="48"/>
      <c r="Z40" s="311" t="s">
        <v>267</v>
      </c>
      <c r="AA40" s="236">
        <f t="shared" si="9"/>
        <v>0</v>
      </c>
      <c r="AB40" s="97">
        <v>0</v>
      </c>
      <c r="AC40" s="99">
        <f t="shared" si="10"/>
        <v>0</v>
      </c>
      <c r="AD40" s="100"/>
      <c r="AE40" s="101">
        <f t="shared" si="7"/>
        <v>651128350</v>
      </c>
      <c r="AF40" s="81"/>
      <c r="AG40" s="54">
        <f t="shared" si="8"/>
        <v>129.28191204209273</v>
      </c>
      <c r="AH40" s="103"/>
      <c r="AI40" s="103"/>
      <c r="AK40" s="179"/>
      <c r="AL40" s="179"/>
    </row>
    <row r="41" spans="1:39" s="66" customFormat="1" ht="28.5" customHeight="1" x14ac:dyDescent="0.25">
      <c r="A41" s="7"/>
      <c r="B41" s="132"/>
      <c r="C41" s="132"/>
      <c r="D41" s="7"/>
      <c r="E41" s="133" t="s">
        <v>67</v>
      </c>
      <c r="F41" s="134" t="s">
        <v>104</v>
      </c>
      <c r="G41" s="134" t="s">
        <v>105</v>
      </c>
      <c r="H41" s="21" t="s">
        <v>153</v>
      </c>
      <c r="I41" s="221">
        <v>223050000</v>
      </c>
      <c r="J41" s="113">
        <v>0</v>
      </c>
      <c r="K41" s="113">
        <v>0</v>
      </c>
      <c r="L41" s="135" t="s">
        <v>188</v>
      </c>
      <c r="M41" s="113">
        <v>32997800</v>
      </c>
      <c r="N41" s="292" t="s">
        <v>188</v>
      </c>
      <c r="O41" s="113">
        <v>75382700</v>
      </c>
      <c r="P41" s="315" t="s">
        <v>106</v>
      </c>
      <c r="Q41" s="345">
        <v>41800000</v>
      </c>
      <c r="R41" s="19"/>
      <c r="S41" s="48">
        <v>0</v>
      </c>
      <c r="T41" s="19"/>
      <c r="U41" s="48"/>
      <c r="V41" s="19"/>
      <c r="W41" s="48"/>
      <c r="X41" s="19"/>
      <c r="Y41" s="48"/>
      <c r="Z41" s="317">
        <f>SUM(R41,T41,V41,X41)</f>
        <v>0</v>
      </c>
      <c r="AA41" s="236">
        <f t="shared" si="9"/>
        <v>0</v>
      </c>
      <c r="AB41" s="97">
        <v>0</v>
      </c>
      <c r="AC41" s="99">
        <f t="shared" si="10"/>
        <v>0</v>
      </c>
      <c r="AD41" s="100"/>
      <c r="AE41" s="101">
        <f t="shared" si="7"/>
        <v>75382700</v>
      </c>
      <c r="AF41" s="81"/>
      <c r="AG41" s="54">
        <f t="shared" si="8"/>
        <v>33.796323694238964</v>
      </c>
      <c r="AH41" s="103" t="s">
        <v>31</v>
      </c>
      <c r="AI41" s="103"/>
      <c r="AK41" s="179">
        <f>SUM(Q41-AA41)</f>
        <v>41800000</v>
      </c>
      <c r="AL41" s="179" t="e">
        <f>SUM(#REF!-S41)</f>
        <v>#REF!</v>
      </c>
    </row>
    <row r="42" spans="1:39" s="66" customFormat="1" ht="28.5" customHeight="1" x14ac:dyDescent="0.25">
      <c r="A42" s="7"/>
      <c r="B42" s="132"/>
      <c r="C42" s="132"/>
      <c r="D42" s="7"/>
      <c r="E42" s="133" t="s">
        <v>176</v>
      </c>
      <c r="F42" s="6" t="s">
        <v>120</v>
      </c>
      <c r="G42" s="3" t="s">
        <v>121</v>
      </c>
      <c r="H42" s="21" t="s">
        <v>156</v>
      </c>
      <c r="I42" s="220">
        <v>150000000</v>
      </c>
      <c r="J42" s="94" t="s">
        <v>30</v>
      </c>
      <c r="K42" s="113">
        <v>131448200</v>
      </c>
      <c r="L42" s="135" t="s">
        <v>189</v>
      </c>
      <c r="M42" s="113">
        <v>22979250</v>
      </c>
      <c r="N42" s="292" t="s">
        <v>189</v>
      </c>
      <c r="O42" s="113">
        <v>154427450</v>
      </c>
      <c r="P42" s="315" t="s">
        <v>122</v>
      </c>
      <c r="Q42" s="345">
        <v>32178000</v>
      </c>
      <c r="R42" s="19"/>
      <c r="S42" s="48">
        <v>2285000</v>
      </c>
      <c r="T42" s="19"/>
      <c r="U42" s="48"/>
      <c r="V42" s="19"/>
      <c r="W42" s="48"/>
      <c r="X42" s="19"/>
      <c r="Y42" s="48"/>
      <c r="Z42" s="317">
        <v>0</v>
      </c>
      <c r="AA42" s="236">
        <f t="shared" si="9"/>
        <v>2285000</v>
      </c>
      <c r="AB42" s="97">
        <v>10</v>
      </c>
      <c r="AC42" s="99">
        <f t="shared" si="10"/>
        <v>7.1011249922307158</v>
      </c>
      <c r="AD42" s="100"/>
      <c r="AE42" s="101">
        <f t="shared" si="7"/>
        <v>156712450</v>
      </c>
      <c r="AF42" s="81"/>
      <c r="AG42" s="54">
        <f t="shared" si="8"/>
        <v>104.47496666666667</v>
      </c>
      <c r="AH42" s="103" t="str">
        <f>AH38</f>
        <v>Diskominfo</v>
      </c>
      <c r="AI42" s="103"/>
      <c r="AK42" s="179"/>
      <c r="AL42" s="179"/>
    </row>
    <row r="43" spans="1:39" s="66" customFormat="1" ht="38.25" x14ac:dyDescent="0.25">
      <c r="A43" s="7"/>
      <c r="B43" s="7"/>
      <c r="C43" s="7"/>
      <c r="D43" s="7"/>
      <c r="E43" s="26" t="s">
        <v>108</v>
      </c>
      <c r="F43" s="194" t="s">
        <v>109</v>
      </c>
      <c r="G43" s="193" t="s">
        <v>110</v>
      </c>
      <c r="H43" s="195" t="s">
        <v>155</v>
      </c>
      <c r="I43" s="219">
        <v>250000000</v>
      </c>
      <c r="J43" s="135" t="s">
        <v>142</v>
      </c>
      <c r="K43" s="113">
        <v>27000000</v>
      </c>
      <c r="L43" s="138" t="s">
        <v>111</v>
      </c>
      <c r="M43" s="138">
        <v>99960000</v>
      </c>
      <c r="N43" s="189" t="s">
        <v>111</v>
      </c>
      <c r="O43" s="113">
        <v>357230225</v>
      </c>
      <c r="P43" s="321" t="s">
        <v>111</v>
      </c>
      <c r="Q43" s="346">
        <v>60106000</v>
      </c>
      <c r="R43" s="18"/>
      <c r="S43" s="189">
        <v>0</v>
      </c>
      <c r="T43" s="13"/>
      <c r="U43" s="189"/>
      <c r="V43" s="18"/>
      <c r="W43" s="189"/>
      <c r="X43" s="18"/>
      <c r="Y43" s="48"/>
      <c r="Z43" s="321" t="s">
        <v>111</v>
      </c>
      <c r="AA43" s="236">
        <f t="shared" si="9"/>
        <v>0</v>
      </c>
      <c r="AB43" s="97">
        <v>3</v>
      </c>
      <c r="AC43" s="99">
        <f t="shared" si="10"/>
        <v>0</v>
      </c>
      <c r="AD43" s="100"/>
      <c r="AE43" s="101">
        <f t="shared" si="7"/>
        <v>357230225</v>
      </c>
      <c r="AF43" s="81"/>
      <c r="AG43" s="54">
        <f t="shared" si="8"/>
        <v>142.89209</v>
      </c>
      <c r="AH43" s="103" t="s">
        <v>31</v>
      </c>
      <c r="AI43" s="103"/>
      <c r="AK43" s="179">
        <f>SUM(Q43-AA43)</f>
        <v>60106000</v>
      </c>
      <c r="AL43" s="179" t="e">
        <f>SUM(#REF!-S43)</f>
        <v>#REF!</v>
      </c>
    </row>
    <row r="44" spans="1:39" s="66" customFormat="1" ht="87.75" customHeight="1" x14ac:dyDescent="0.25">
      <c r="A44" s="7"/>
      <c r="B44" s="7"/>
      <c r="C44" s="7"/>
      <c r="D44" s="7"/>
      <c r="E44" s="26" t="s">
        <v>177</v>
      </c>
      <c r="F44" s="93" t="s">
        <v>178</v>
      </c>
      <c r="G44" s="3" t="s">
        <v>87</v>
      </c>
      <c r="H44" s="115" t="s">
        <v>140</v>
      </c>
      <c r="I44" s="222">
        <v>500000000</v>
      </c>
      <c r="J44" s="115" t="s">
        <v>143</v>
      </c>
      <c r="K44" s="113">
        <v>134752000</v>
      </c>
      <c r="L44" s="115" t="s">
        <v>140</v>
      </c>
      <c r="M44" s="113">
        <v>75275350</v>
      </c>
      <c r="N44" s="327" t="s">
        <v>140</v>
      </c>
      <c r="O44" s="77">
        <v>395206015</v>
      </c>
      <c r="P44" s="315" t="s">
        <v>45</v>
      </c>
      <c r="Q44" s="345">
        <v>116981000</v>
      </c>
      <c r="R44" s="315" t="s">
        <v>45</v>
      </c>
      <c r="S44" s="131">
        <v>24277100</v>
      </c>
      <c r="T44" s="14"/>
      <c r="U44" s="98"/>
      <c r="V44" s="14"/>
      <c r="W44" s="48"/>
      <c r="X44" s="19"/>
      <c r="Y44" s="50"/>
      <c r="Z44" s="315" t="s">
        <v>45</v>
      </c>
      <c r="AA44" s="236">
        <f t="shared" si="9"/>
        <v>24277100</v>
      </c>
      <c r="AB44" s="97">
        <v>11.7</v>
      </c>
      <c r="AC44" s="99">
        <f t="shared" si="10"/>
        <v>20.753028269548047</v>
      </c>
      <c r="AD44" s="100"/>
      <c r="AE44" s="101">
        <f t="shared" si="7"/>
        <v>419483115</v>
      </c>
      <c r="AF44" s="81"/>
      <c r="AG44" s="54">
        <f t="shared" si="8"/>
        <v>83.896623000000005</v>
      </c>
      <c r="AH44" s="103" t="s">
        <v>31</v>
      </c>
      <c r="AI44" s="103"/>
      <c r="AK44" s="179"/>
      <c r="AL44" s="179"/>
    </row>
    <row r="45" spans="1:39" s="384" customFormat="1" ht="25.5" x14ac:dyDescent="0.25">
      <c r="A45" s="366"/>
      <c r="B45" s="366"/>
      <c r="C45" s="366"/>
      <c r="D45" s="366"/>
      <c r="E45" s="367"/>
      <c r="F45" s="368" t="s">
        <v>277</v>
      </c>
      <c r="G45" s="369" t="s">
        <v>315</v>
      </c>
      <c r="H45" s="370" t="s">
        <v>314</v>
      </c>
      <c r="I45" s="371"/>
      <c r="J45" s="372"/>
      <c r="K45" s="372"/>
      <c r="L45" s="373"/>
      <c r="M45" s="372"/>
      <c r="N45" s="373"/>
      <c r="O45" s="374"/>
      <c r="P45" s="370" t="s">
        <v>284</v>
      </c>
      <c r="Q45" s="375">
        <v>50000000</v>
      </c>
      <c r="R45" s="366"/>
      <c r="S45" s="372">
        <v>1798200</v>
      </c>
      <c r="T45" s="366"/>
      <c r="U45" s="372"/>
      <c r="V45" s="366"/>
      <c r="W45" s="372"/>
      <c r="X45" s="366"/>
      <c r="Y45" s="374"/>
      <c r="Z45" s="376"/>
      <c r="AA45" s="377">
        <f t="shared" si="9"/>
        <v>1798200</v>
      </c>
      <c r="AB45" s="378">
        <v>10</v>
      </c>
      <c r="AC45" s="379">
        <f t="shared" si="10"/>
        <v>3.5964000000000005</v>
      </c>
      <c r="AD45" s="378"/>
      <c r="AE45" s="380"/>
      <c r="AF45" s="381"/>
      <c r="AG45" s="382"/>
      <c r="AH45" s="103" t="s">
        <v>31</v>
      </c>
      <c r="AI45" s="383"/>
      <c r="AK45" s="385"/>
      <c r="AL45" s="385"/>
    </row>
    <row r="46" spans="1:39" s="384" customFormat="1" ht="38.25" x14ac:dyDescent="0.25">
      <c r="A46" s="366"/>
      <c r="B46" s="366"/>
      <c r="C46" s="366"/>
      <c r="D46" s="366"/>
      <c r="E46" s="367"/>
      <c r="F46" s="368" t="s">
        <v>278</v>
      </c>
      <c r="G46" s="369" t="s">
        <v>316</v>
      </c>
      <c r="H46" s="370" t="s">
        <v>317</v>
      </c>
      <c r="I46" s="371"/>
      <c r="J46" s="372"/>
      <c r="K46" s="372"/>
      <c r="L46" s="373"/>
      <c r="M46" s="372"/>
      <c r="N46" s="373"/>
      <c r="O46" s="374"/>
      <c r="P46" s="370" t="s">
        <v>281</v>
      </c>
      <c r="Q46" s="375">
        <v>20000000</v>
      </c>
      <c r="R46" s="366"/>
      <c r="S46" s="372">
        <v>0</v>
      </c>
      <c r="T46" s="366"/>
      <c r="U46" s="372"/>
      <c r="V46" s="366"/>
      <c r="W46" s="372"/>
      <c r="X46" s="366"/>
      <c r="Y46" s="374"/>
      <c r="Z46" s="376"/>
      <c r="AA46" s="377">
        <f t="shared" si="9"/>
        <v>0</v>
      </c>
      <c r="AB46" s="378">
        <v>25</v>
      </c>
      <c r="AC46" s="379">
        <f t="shared" si="10"/>
        <v>0</v>
      </c>
      <c r="AD46" s="378"/>
      <c r="AE46" s="380"/>
      <c r="AF46" s="381"/>
      <c r="AG46" s="382"/>
      <c r="AH46" s="103" t="s">
        <v>31</v>
      </c>
      <c r="AI46" s="383"/>
      <c r="AK46" s="385"/>
      <c r="AL46" s="385"/>
    </row>
    <row r="47" spans="1:39" s="384" customFormat="1" ht="38.25" x14ac:dyDescent="0.25">
      <c r="A47" s="366"/>
      <c r="B47" s="366"/>
      <c r="C47" s="366"/>
      <c r="D47" s="366"/>
      <c r="E47" s="367"/>
      <c r="F47" s="368" t="s">
        <v>279</v>
      </c>
      <c r="G47" s="369" t="s">
        <v>318</v>
      </c>
      <c r="H47" s="370" t="s">
        <v>282</v>
      </c>
      <c r="I47" s="371"/>
      <c r="J47" s="372"/>
      <c r="K47" s="372"/>
      <c r="L47" s="373"/>
      <c r="M47" s="372"/>
      <c r="N47" s="373"/>
      <c r="O47" s="374"/>
      <c r="P47" s="370" t="s">
        <v>282</v>
      </c>
      <c r="Q47" s="375">
        <v>43550000</v>
      </c>
      <c r="R47" s="366"/>
      <c r="S47" s="372">
        <v>0</v>
      </c>
      <c r="T47" s="366"/>
      <c r="U47" s="372"/>
      <c r="V47" s="366"/>
      <c r="W47" s="372"/>
      <c r="X47" s="366"/>
      <c r="Y47" s="374"/>
      <c r="Z47" s="376"/>
      <c r="AA47" s="377">
        <f t="shared" si="9"/>
        <v>0</v>
      </c>
      <c r="AB47" s="378">
        <v>0</v>
      </c>
      <c r="AC47" s="379">
        <f t="shared" si="10"/>
        <v>0</v>
      </c>
      <c r="AD47" s="378"/>
      <c r="AE47" s="380"/>
      <c r="AF47" s="381"/>
      <c r="AG47" s="382"/>
      <c r="AH47" s="103" t="s">
        <v>31</v>
      </c>
      <c r="AI47" s="383"/>
      <c r="AK47" s="385"/>
      <c r="AL47" s="385"/>
    </row>
    <row r="48" spans="1:39" s="384" customFormat="1" ht="25.5" x14ac:dyDescent="0.25">
      <c r="A48" s="366"/>
      <c r="B48" s="366"/>
      <c r="C48" s="366"/>
      <c r="D48" s="366"/>
      <c r="E48" s="367"/>
      <c r="F48" s="368" t="s">
        <v>280</v>
      </c>
      <c r="G48" s="369" t="s">
        <v>319</v>
      </c>
      <c r="H48" s="370" t="s">
        <v>320</v>
      </c>
      <c r="I48" s="371">
        <v>801020000</v>
      </c>
      <c r="J48" s="372"/>
      <c r="K48" s="372"/>
      <c r="L48" s="373"/>
      <c r="M48" s="372"/>
      <c r="N48" s="373"/>
      <c r="O48" s="374"/>
      <c r="P48" s="370" t="s">
        <v>283</v>
      </c>
      <c r="Q48" s="375">
        <v>395000000</v>
      </c>
      <c r="R48" s="366"/>
      <c r="S48" s="372">
        <v>300000</v>
      </c>
      <c r="T48" s="366"/>
      <c r="U48" s="372"/>
      <c r="V48" s="366"/>
      <c r="W48" s="372"/>
      <c r="X48" s="366"/>
      <c r="Y48" s="374"/>
      <c r="Z48" s="376"/>
      <c r="AA48" s="377">
        <f t="shared" si="9"/>
        <v>300000</v>
      </c>
      <c r="AB48" s="378">
        <v>20</v>
      </c>
      <c r="AC48" s="379">
        <f t="shared" si="10"/>
        <v>7.5949367088607597E-2</v>
      </c>
      <c r="AD48" s="378"/>
      <c r="AE48" s="380"/>
      <c r="AF48" s="381"/>
      <c r="AG48" s="382"/>
      <c r="AH48" s="103" t="s">
        <v>31</v>
      </c>
      <c r="AI48" s="383"/>
      <c r="AK48" s="385"/>
      <c r="AL48" s="385"/>
    </row>
    <row r="49" spans="1:39" s="66" customFormat="1" ht="15.75" customHeight="1" x14ac:dyDescent="0.25">
      <c r="A49" s="707" t="s">
        <v>134</v>
      </c>
      <c r="B49" s="708"/>
      <c r="C49" s="708"/>
      <c r="D49" s="708"/>
      <c r="E49" s="708"/>
      <c r="F49" s="708"/>
      <c r="G49" s="708"/>
      <c r="H49" s="708"/>
      <c r="I49" s="708"/>
      <c r="J49" s="708"/>
      <c r="K49" s="708"/>
      <c r="L49" s="708"/>
      <c r="M49" s="708"/>
      <c r="N49" s="708"/>
      <c r="O49" s="710"/>
      <c r="P49" s="708"/>
      <c r="Q49" s="708"/>
      <c r="R49" s="708"/>
      <c r="S49" s="708"/>
      <c r="T49" s="708"/>
      <c r="U49" s="708"/>
      <c r="V49" s="708"/>
      <c r="W49" s="708"/>
      <c r="X49" s="708"/>
      <c r="Y49" s="710"/>
      <c r="Z49" s="708"/>
      <c r="AA49" s="709"/>
      <c r="AB49" s="82"/>
      <c r="AC49" s="83">
        <f>AVERAGE(AC38:AC48)</f>
        <v>3.4883409503451315</v>
      </c>
      <c r="AD49" s="84"/>
      <c r="AE49" s="52"/>
      <c r="AF49" s="85"/>
      <c r="AG49" s="83">
        <f>AVERAGE(AG38:AG44)</f>
        <v>84.487052004715906</v>
      </c>
      <c r="AH49" s="86"/>
      <c r="AI49" s="86"/>
    </row>
    <row r="50" spans="1:39" s="66" customFormat="1" ht="15.75" customHeight="1" x14ac:dyDescent="0.25">
      <c r="A50" s="190"/>
      <c r="B50" s="191"/>
      <c r="C50" s="191"/>
      <c r="D50" s="191"/>
      <c r="E50" s="191"/>
      <c r="F50" s="208">
        <f>I52+I37+I59</f>
        <v>13187428540</v>
      </c>
      <c r="G50" s="191"/>
      <c r="H50" s="191"/>
      <c r="I50" s="191"/>
      <c r="J50" s="191"/>
      <c r="K50" s="191"/>
      <c r="L50" s="191"/>
      <c r="M50" s="191"/>
      <c r="N50" s="323"/>
      <c r="O50" s="191"/>
      <c r="P50" s="355"/>
      <c r="Q50" s="314"/>
      <c r="R50" s="191"/>
      <c r="S50" s="191"/>
      <c r="T50" s="191"/>
      <c r="U50" s="191"/>
      <c r="V50" s="191"/>
      <c r="W50" s="191"/>
      <c r="X50" s="323"/>
      <c r="Y50" s="191"/>
      <c r="Z50" s="314"/>
      <c r="AA50" s="192"/>
      <c r="AB50" s="82"/>
      <c r="AC50" s="83"/>
      <c r="AD50" s="88"/>
      <c r="AE50" s="52"/>
      <c r="AF50" s="85"/>
      <c r="AG50" s="83"/>
      <c r="AH50" s="86"/>
      <c r="AI50" s="86"/>
    </row>
    <row r="51" spans="1:39" s="66" customFormat="1" ht="27" customHeight="1" x14ac:dyDescent="0.25">
      <c r="A51" s="707" t="s">
        <v>135</v>
      </c>
      <c r="B51" s="708"/>
      <c r="C51" s="708"/>
      <c r="D51" s="708"/>
      <c r="E51" s="708"/>
      <c r="F51" s="708"/>
      <c r="G51" s="708"/>
      <c r="H51" s="708"/>
      <c r="I51" s="708"/>
      <c r="J51" s="708"/>
      <c r="K51" s="708"/>
      <c r="L51" s="708"/>
      <c r="M51" s="708"/>
      <c r="N51" s="708"/>
      <c r="O51" s="708"/>
      <c r="P51" s="708"/>
      <c r="Q51" s="708"/>
      <c r="R51" s="708"/>
      <c r="S51" s="708"/>
      <c r="T51" s="708"/>
      <c r="U51" s="708"/>
      <c r="V51" s="708"/>
      <c r="W51" s="708"/>
      <c r="X51" s="708"/>
      <c r="Y51" s="708"/>
      <c r="Z51" s="708"/>
      <c r="AA51" s="709"/>
      <c r="AB51" s="82"/>
      <c r="AC51" s="87" t="str">
        <f>IF(AC49&lt;=50,"Sangat Rendah",IF(AC49&lt;=65,"Rendah",IF(AC49&lt;=75,"Sedang",IF(AC49&lt;=90,"Tinggi",IF(AC49&lt;=100,"Sangat Tinggi","Salah")))))</f>
        <v>Sangat Rendah</v>
      </c>
      <c r="AD51" s="88"/>
      <c r="AE51" s="52"/>
      <c r="AF51" s="85"/>
      <c r="AG51" s="87" t="str">
        <f>IF(AG49&lt;=50,"Sangat Rendah",IF(AG49&lt;=65,"Rendah",IF(AG49&lt;=75,"Sedang",IF(AG49&lt;=90,"Tinggi",IF(AG49&lt;=100,"Sangat Tinggi","Salah")))))</f>
        <v>Tinggi</v>
      </c>
      <c r="AH51" s="86"/>
      <c r="AI51" s="86"/>
      <c r="AM51" s="89"/>
    </row>
    <row r="52" spans="1:39" s="66" customFormat="1" ht="42" customHeight="1" x14ac:dyDescent="0.25">
      <c r="A52" s="34" t="s">
        <v>123</v>
      </c>
      <c r="B52" s="35" t="s">
        <v>55</v>
      </c>
      <c r="C52" s="35" t="s">
        <v>54</v>
      </c>
      <c r="D52" s="35" t="s">
        <v>124</v>
      </c>
      <c r="E52" s="10"/>
      <c r="F52" s="27" t="s">
        <v>125</v>
      </c>
      <c r="G52" s="11"/>
      <c r="H52" s="36"/>
      <c r="I52" s="72">
        <f>SUM(I53:I56)</f>
        <v>947334730</v>
      </c>
      <c r="J52" s="113"/>
      <c r="K52" s="72">
        <v>0</v>
      </c>
      <c r="L52" s="62"/>
      <c r="M52" s="139">
        <f>SUM(M53:M56)</f>
        <v>147610140</v>
      </c>
      <c r="N52" s="139"/>
      <c r="O52" s="139">
        <f>SUM(O53:O56)</f>
        <v>254448740</v>
      </c>
      <c r="P52" s="321"/>
      <c r="Q52" s="347">
        <f>SUM(Q53:Q56)</f>
        <v>140809000</v>
      </c>
      <c r="R52" s="10"/>
      <c r="S52" s="139">
        <f>SUM(S53:S56)</f>
        <v>65176750</v>
      </c>
      <c r="T52" s="10"/>
      <c r="U52" s="139">
        <f>SUM(U53:U56)</f>
        <v>0</v>
      </c>
      <c r="V52" s="10"/>
      <c r="W52" s="139">
        <f>SUM(W53:W56)</f>
        <v>0</v>
      </c>
      <c r="X52" s="18"/>
      <c r="Y52" s="139">
        <f>SUM(Y53:Y56)</f>
        <v>0</v>
      </c>
      <c r="Z52" s="310"/>
      <c r="AA52" s="139">
        <f>SUM(AA53:AA56)</f>
        <v>65176750</v>
      </c>
      <c r="AB52" s="140"/>
      <c r="AC52" s="99">
        <f>AA52/Q52*100</f>
        <v>46.28734668948718</v>
      </c>
      <c r="AD52" s="141"/>
      <c r="AE52" s="139">
        <f>SUM(AE53:AE56)</f>
        <v>319625490</v>
      </c>
      <c r="AF52" s="142"/>
      <c r="AG52" s="142"/>
      <c r="AH52" s="65"/>
      <c r="AI52" s="65"/>
    </row>
    <row r="53" spans="1:39" s="66" customFormat="1" ht="25.5" x14ac:dyDescent="0.25">
      <c r="A53" s="7"/>
      <c r="B53" s="7"/>
      <c r="C53" s="7"/>
      <c r="D53" s="7"/>
      <c r="E53" s="26" t="s">
        <v>54</v>
      </c>
      <c r="F53" s="3" t="s">
        <v>126</v>
      </c>
      <c r="G53" s="6" t="s">
        <v>127</v>
      </c>
      <c r="H53" s="56" t="s">
        <v>128</v>
      </c>
      <c r="I53" s="47">
        <v>380347730</v>
      </c>
      <c r="J53" s="113">
        <v>0</v>
      </c>
      <c r="K53" s="113">
        <v>0</v>
      </c>
      <c r="L53" s="113" t="s">
        <v>128</v>
      </c>
      <c r="M53" s="113">
        <v>61626140</v>
      </c>
      <c r="N53" s="48" t="s">
        <v>128</v>
      </c>
      <c r="O53" s="113">
        <v>108469740</v>
      </c>
      <c r="P53" s="315" t="s">
        <v>281</v>
      </c>
      <c r="Q53" s="345">
        <v>46476000</v>
      </c>
      <c r="R53" s="14"/>
      <c r="S53" s="48">
        <v>44354250</v>
      </c>
      <c r="U53" s="48"/>
      <c r="V53" s="14"/>
      <c r="W53" s="48"/>
      <c r="X53" s="19"/>
      <c r="Y53" s="50"/>
      <c r="Z53" s="315" t="s">
        <v>128</v>
      </c>
      <c r="AA53" s="236">
        <f>SUM(S53,U53,W53,Y53)</f>
        <v>44354250</v>
      </c>
      <c r="AB53" s="97">
        <v>95</v>
      </c>
      <c r="AC53" s="99">
        <f>AA53/Q53*100</f>
        <v>95.43474051123161</v>
      </c>
      <c r="AD53" s="100"/>
      <c r="AE53" s="101">
        <f>O53+AA53</f>
        <v>152823990</v>
      </c>
      <c r="AF53" s="81"/>
      <c r="AG53" s="54">
        <f>SUM(AE53/I53)*100</f>
        <v>40.180071536117751</v>
      </c>
      <c r="AH53" s="103" t="s">
        <v>31</v>
      </c>
      <c r="AI53" s="103"/>
      <c r="AK53" s="179">
        <f>SUM(Q53-AA53)</f>
        <v>2121750</v>
      </c>
      <c r="AL53" s="179" t="e">
        <f>SUM(#REF!-S53)</f>
        <v>#REF!</v>
      </c>
    </row>
    <row r="54" spans="1:39" s="66" customFormat="1" ht="76.5" x14ac:dyDescent="0.25">
      <c r="A54" s="39"/>
      <c r="B54" s="39"/>
      <c r="C54" s="39"/>
      <c r="D54" s="39"/>
      <c r="E54" s="304" t="s">
        <v>130</v>
      </c>
      <c r="F54" s="305" t="s">
        <v>92</v>
      </c>
      <c r="G54" s="193" t="s">
        <v>93</v>
      </c>
      <c r="H54" s="195" t="s">
        <v>151</v>
      </c>
      <c r="I54" s="306">
        <v>366306000</v>
      </c>
      <c r="J54" s="136">
        <v>0</v>
      </c>
      <c r="K54" s="113">
        <v>0</v>
      </c>
      <c r="L54" s="115" t="s">
        <v>190</v>
      </c>
      <c r="M54" s="113">
        <v>59984000</v>
      </c>
      <c r="N54" s="327" t="s">
        <v>190</v>
      </c>
      <c r="O54" s="113">
        <v>119979000</v>
      </c>
      <c r="P54" s="315" t="s">
        <v>292</v>
      </c>
      <c r="Q54" s="345">
        <v>41152000</v>
      </c>
      <c r="R54" s="19"/>
      <c r="S54" s="48">
        <v>1400000</v>
      </c>
      <c r="T54" s="19"/>
      <c r="U54" s="49"/>
      <c r="V54" s="14"/>
      <c r="W54" s="49"/>
      <c r="X54" s="40"/>
      <c r="Y54" s="50"/>
      <c r="Z54" s="315" t="s">
        <v>94</v>
      </c>
      <c r="AA54" s="236">
        <f>SUM(S54,U54,W54,Y54)</f>
        <v>1400000</v>
      </c>
      <c r="AB54" s="143">
        <v>24</v>
      </c>
      <c r="AC54" s="99">
        <f>AA54/Q54*100</f>
        <v>3.4020217729393467</v>
      </c>
      <c r="AD54" s="144"/>
      <c r="AE54" s="101">
        <f>O54+AA54</f>
        <v>121379000</v>
      </c>
      <c r="AF54" s="145"/>
      <c r="AG54" s="54">
        <f>SUM(AE54/I54)*100</f>
        <v>33.135957368975667</v>
      </c>
      <c r="AH54" s="146" t="str">
        <f>AH53</f>
        <v>Diskominfo</v>
      </c>
      <c r="AI54" s="146"/>
      <c r="AK54" s="179"/>
      <c r="AL54" s="179"/>
    </row>
    <row r="55" spans="1:39" s="384" customFormat="1" ht="25.5" x14ac:dyDescent="0.25">
      <c r="A55" s="386"/>
      <c r="B55" s="386"/>
      <c r="C55" s="386"/>
      <c r="D55" s="386"/>
      <c r="E55" s="367" t="s">
        <v>181</v>
      </c>
      <c r="F55" s="383" t="s">
        <v>291</v>
      </c>
      <c r="G55" s="387" t="s">
        <v>127</v>
      </c>
      <c r="H55" s="366" t="s">
        <v>293</v>
      </c>
      <c r="I55" s="372">
        <v>78681000</v>
      </c>
      <c r="J55" s="374"/>
      <c r="K55" s="372"/>
      <c r="L55" s="372"/>
      <c r="M55" s="372">
        <v>0</v>
      </c>
      <c r="N55" s="372">
        <v>0</v>
      </c>
      <c r="O55" s="372"/>
      <c r="P55" s="376" t="s">
        <v>293</v>
      </c>
      <c r="Q55" s="375">
        <v>28681000</v>
      </c>
      <c r="R55" s="376"/>
      <c r="S55" s="372">
        <v>19422500</v>
      </c>
      <c r="U55" s="374"/>
      <c r="V55" s="376"/>
      <c r="W55" s="374"/>
      <c r="X55" s="376"/>
      <c r="Y55" s="377"/>
      <c r="Z55" s="376" t="s">
        <v>265</v>
      </c>
      <c r="AA55" s="377">
        <f>SUM(S55,U55,W55,Y55)</f>
        <v>19422500</v>
      </c>
      <c r="AB55" s="388">
        <v>0</v>
      </c>
      <c r="AC55" s="379">
        <f>AA55/Q55*100</f>
        <v>67.71904745301768</v>
      </c>
      <c r="AD55" s="388"/>
      <c r="AE55" s="380">
        <f>O55+AA55</f>
        <v>19422500</v>
      </c>
      <c r="AF55" s="389"/>
      <c r="AG55" s="382">
        <f>SUM(AE55/I55)*100</f>
        <v>24.685120931355726</v>
      </c>
      <c r="AH55" s="383" t="s">
        <v>31</v>
      </c>
      <c r="AI55" s="390"/>
      <c r="AK55" s="385"/>
      <c r="AL55" s="385"/>
    </row>
    <row r="56" spans="1:39" s="384" customFormat="1" ht="41.25" customHeight="1" x14ac:dyDescent="0.25">
      <c r="A56" s="386"/>
      <c r="B56" s="386"/>
      <c r="C56" s="386"/>
      <c r="D56" s="386"/>
      <c r="E56" s="391" t="s">
        <v>58</v>
      </c>
      <c r="F56" s="392" t="s">
        <v>179</v>
      </c>
      <c r="G56" s="393" t="s">
        <v>321</v>
      </c>
      <c r="H56" s="394" t="s">
        <v>195</v>
      </c>
      <c r="I56" s="373">
        <v>122000000</v>
      </c>
      <c r="J56" s="372">
        <v>0</v>
      </c>
      <c r="K56" s="372">
        <v>0</v>
      </c>
      <c r="L56" s="394" t="s">
        <v>195</v>
      </c>
      <c r="M56" s="374">
        <v>26000000</v>
      </c>
      <c r="N56" s="394" t="s">
        <v>195</v>
      </c>
      <c r="O56" s="372">
        <f>K56+M56</f>
        <v>26000000</v>
      </c>
      <c r="P56" s="394" t="s">
        <v>195</v>
      </c>
      <c r="Q56" s="395">
        <v>24500000</v>
      </c>
      <c r="R56" s="386"/>
      <c r="S56" s="374">
        <v>0</v>
      </c>
      <c r="T56" s="386"/>
      <c r="U56" s="374"/>
      <c r="V56" s="386"/>
      <c r="W56" s="374"/>
      <c r="X56" s="386"/>
      <c r="Y56" s="374"/>
      <c r="Z56" s="396">
        <f>SUM(R56,T56,V56,X56)</f>
        <v>0</v>
      </c>
      <c r="AA56" s="377">
        <f>SUM(S56,U56,W56,Y56)</f>
        <v>0</v>
      </c>
      <c r="AB56" s="388">
        <v>95</v>
      </c>
      <c r="AC56" s="379">
        <f>AA56/Q56*100</f>
        <v>0</v>
      </c>
      <c r="AD56" s="388"/>
      <c r="AE56" s="380">
        <f>O56+AA56</f>
        <v>26000000</v>
      </c>
      <c r="AF56" s="389"/>
      <c r="AG56" s="382">
        <f>SUM(AE56/I56)*100</f>
        <v>21.311475409836063</v>
      </c>
      <c r="AH56" s="390" t="s">
        <v>31</v>
      </c>
      <c r="AI56" s="390"/>
      <c r="AK56" s="385">
        <f>SUM(Q56-AA56)</f>
        <v>24500000</v>
      </c>
      <c r="AL56" s="385" t="e">
        <f>SUM(#REF!-S56)</f>
        <v>#REF!</v>
      </c>
    </row>
    <row r="57" spans="1:39" s="66" customFormat="1" ht="15.75" customHeight="1" x14ac:dyDescent="0.25">
      <c r="A57" s="707" t="s">
        <v>134</v>
      </c>
      <c r="B57" s="708"/>
      <c r="C57" s="708"/>
      <c r="D57" s="708"/>
      <c r="E57" s="708"/>
      <c r="F57" s="708"/>
      <c r="G57" s="708"/>
      <c r="H57" s="708"/>
      <c r="I57" s="708"/>
      <c r="J57" s="708"/>
      <c r="K57" s="708"/>
      <c r="L57" s="708"/>
      <c r="M57" s="708"/>
      <c r="N57" s="708"/>
      <c r="O57" s="708"/>
      <c r="P57" s="708"/>
      <c r="Q57" s="708"/>
      <c r="R57" s="708"/>
      <c r="S57" s="708"/>
      <c r="T57" s="708"/>
      <c r="U57" s="708"/>
      <c r="V57" s="708"/>
      <c r="W57" s="708"/>
      <c r="X57" s="708"/>
      <c r="Y57" s="708"/>
      <c r="Z57" s="708"/>
      <c r="AA57" s="709"/>
      <c r="AB57" s="82"/>
      <c r="AC57" s="83">
        <f>AVERAGE(AC53:AC56)</f>
        <v>41.63895243429716</v>
      </c>
      <c r="AD57" s="84"/>
      <c r="AE57" s="52"/>
      <c r="AF57" s="85"/>
      <c r="AG57" s="83">
        <f>AVERAGE(AG53:AG56)</f>
        <v>29.828156311571302</v>
      </c>
      <c r="AH57" s="86"/>
      <c r="AI57" s="86"/>
    </row>
    <row r="58" spans="1:39" s="66" customFormat="1" ht="33.75" customHeight="1" x14ac:dyDescent="0.25">
      <c r="A58" s="707" t="s">
        <v>135</v>
      </c>
      <c r="B58" s="708"/>
      <c r="C58" s="708"/>
      <c r="D58" s="708"/>
      <c r="E58" s="708"/>
      <c r="F58" s="708"/>
      <c r="G58" s="708"/>
      <c r="H58" s="708"/>
      <c r="I58" s="708"/>
      <c r="J58" s="708"/>
      <c r="K58" s="708"/>
      <c r="L58" s="708"/>
      <c r="M58" s="708"/>
      <c r="N58" s="708"/>
      <c r="O58" s="708"/>
      <c r="P58" s="708"/>
      <c r="Q58" s="708"/>
      <c r="R58" s="708"/>
      <c r="S58" s="708"/>
      <c r="T58" s="708"/>
      <c r="U58" s="708"/>
      <c r="V58" s="708"/>
      <c r="W58" s="708"/>
      <c r="X58" s="708"/>
      <c r="Y58" s="708"/>
      <c r="Z58" s="708"/>
      <c r="AA58" s="709"/>
      <c r="AB58" s="82"/>
      <c r="AC58" s="87" t="str">
        <f>IF(AC57&lt;=50,"Sangat Rendah",IF(AC57&lt;=65,"Rendah",IF(AC57&lt;=75,"Sedang",IF(AC57&lt;=90,"Tinggi",IF(AC57&lt;=100,"Sangat Tinggi","Salah")))))</f>
        <v>Sangat Rendah</v>
      </c>
      <c r="AD58" s="88"/>
      <c r="AE58" s="52"/>
      <c r="AF58" s="85"/>
      <c r="AG58" s="87" t="str">
        <f>IF(AG57&lt;=50,"Sangat Rendah",IF(AG57&lt;=65,"Rendah",IF(AG57&lt;=75,"Sedang",IF(AG57&lt;=90,"Tinggi",IF(AG57&lt;=100,"Sangat Tinggi","Salah")))))</f>
        <v>Sangat Rendah</v>
      </c>
      <c r="AH58" s="86"/>
      <c r="AI58" s="86"/>
      <c r="AM58" s="89"/>
    </row>
    <row r="59" spans="1:39" s="66" customFormat="1" ht="25.5" x14ac:dyDescent="0.25">
      <c r="A59" s="41" t="s">
        <v>146</v>
      </c>
      <c r="B59" s="42" t="s">
        <v>55</v>
      </c>
      <c r="C59" s="42" t="s">
        <v>54</v>
      </c>
      <c r="D59" s="42" t="s">
        <v>60</v>
      </c>
      <c r="E59" s="15"/>
      <c r="F59" s="33" t="s">
        <v>129</v>
      </c>
      <c r="G59" s="43"/>
      <c r="H59" s="23"/>
      <c r="I59" s="71">
        <f>SUM(I60:I66)</f>
        <v>6490267310</v>
      </c>
      <c r="J59" s="113"/>
      <c r="K59" s="71">
        <f>SUM(K60:K66)</f>
        <v>52000000</v>
      </c>
      <c r="L59" s="70"/>
      <c r="M59" s="71">
        <f>SUM(M60:M66)</f>
        <v>1051728402</v>
      </c>
      <c r="N59" s="71"/>
      <c r="O59" s="71">
        <f>SUM(O60:O66)</f>
        <v>2000386621</v>
      </c>
      <c r="P59" s="335"/>
      <c r="Q59" s="341">
        <f>SUM(Q60:Q66)</f>
        <v>787115000</v>
      </c>
      <c r="R59" s="15"/>
      <c r="S59" s="71">
        <f>SUM(S60:S66)</f>
        <v>130803427</v>
      </c>
      <c r="T59" s="15"/>
      <c r="U59" s="71">
        <f>SUM(U60:U66)</f>
        <v>0</v>
      </c>
      <c r="V59" s="15"/>
      <c r="W59" s="71">
        <f>SUM(W60:W66)</f>
        <v>0</v>
      </c>
      <c r="X59" s="322"/>
      <c r="Y59" s="71">
        <f>SUM(Y60:Y66)</f>
        <v>0</v>
      </c>
      <c r="Z59" s="317">
        <f>SUM(R59,T59,V59,X59)</f>
        <v>0</v>
      </c>
      <c r="AA59" s="71">
        <f>SUM(AA60:AA66)</f>
        <v>130803427</v>
      </c>
      <c r="AB59" s="147"/>
      <c r="AC59" s="99">
        <f>AA59/Q59*100</f>
        <v>16.618083380446315</v>
      </c>
      <c r="AD59" s="148"/>
      <c r="AE59" s="71">
        <f>SUM(AE61:AE61)</f>
        <v>519195950</v>
      </c>
      <c r="AF59" s="149"/>
      <c r="AG59" s="149"/>
      <c r="AH59" s="76"/>
      <c r="AI59" s="76"/>
    </row>
    <row r="60" spans="1:39" s="66" customFormat="1" ht="38.25" x14ac:dyDescent="0.25">
      <c r="A60" s="34"/>
      <c r="B60" s="35"/>
      <c r="C60" s="35"/>
      <c r="D60" s="35"/>
      <c r="E60" s="26" t="s">
        <v>181</v>
      </c>
      <c r="F60" s="6" t="s">
        <v>116</v>
      </c>
      <c r="G60" s="3" t="s">
        <v>117</v>
      </c>
      <c r="H60" s="303" t="s">
        <v>149</v>
      </c>
      <c r="I60" s="48">
        <v>582000000</v>
      </c>
      <c r="J60" s="113">
        <v>0</v>
      </c>
      <c r="K60" s="113">
        <v>0</v>
      </c>
      <c r="L60" s="136" t="s">
        <v>192</v>
      </c>
      <c r="M60" s="113">
        <v>132104925</v>
      </c>
      <c r="N60" s="49" t="s">
        <v>192</v>
      </c>
      <c r="O60" s="113">
        <v>173914925</v>
      </c>
      <c r="P60" s="315" t="s">
        <v>294</v>
      </c>
      <c r="Q60" s="345">
        <v>60000000</v>
      </c>
      <c r="R60" s="19"/>
      <c r="S60" s="48">
        <v>700000</v>
      </c>
      <c r="T60" s="19"/>
      <c r="U60" s="48"/>
      <c r="V60" s="19"/>
      <c r="W60" s="48"/>
      <c r="X60" s="18"/>
      <c r="Y60" s="50"/>
      <c r="Z60" s="318" t="str">
        <f>P60</f>
        <v>9 Kali Kegiatan WKM</v>
      </c>
      <c r="AA60" s="236">
        <f>SUM(S60,U60,W60,Y60)</f>
        <v>700000</v>
      </c>
      <c r="AB60" s="140">
        <v>1</v>
      </c>
      <c r="AC60" s="99">
        <f>AA60/Q60*100</f>
        <v>1.1666666666666667</v>
      </c>
      <c r="AD60" s="141"/>
      <c r="AE60" s="101">
        <f t="shared" ref="AE60:AE66" si="11">O60+AA60</f>
        <v>174614925</v>
      </c>
      <c r="AF60" s="142"/>
      <c r="AG60" s="54">
        <f t="shared" ref="AG60:AG66" si="12">SUM(AE60/I60)*100</f>
        <v>30.002564432989693</v>
      </c>
      <c r="AH60" s="65" t="str">
        <f>AH56</f>
        <v>Diskominfo</v>
      </c>
      <c r="AI60" s="65"/>
    </row>
    <row r="61" spans="1:39" s="66" customFormat="1" ht="25.5" x14ac:dyDescent="0.25">
      <c r="A61" s="7"/>
      <c r="B61" s="7"/>
      <c r="C61" s="7"/>
      <c r="D61" s="7"/>
      <c r="E61" s="26" t="s">
        <v>130</v>
      </c>
      <c r="F61" s="5" t="s">
        <v>25</v>
      </c>
      <c r="G61" s="6" t="s">
        <v>131</v>
      </c>
      <c r="H61" s="115" t="s">
        <v>132</v>
      </c>
      <c r="I61" s="47">
        <f>221988000+230000000+253000000+278300000+306130000+326743000</f>
        <v>1616161000</v>
      </c>
      <c r="J61" s="113">
        <v>0</v>
      </c>
      <c r="K61" s="113">
        <v>0</v>
      </c>
      <c r="L61" s="115" t="s">
        <v>132</v>
      </c>
      <c r="M61" s="113">
        <v>226009400</v>
      </c>
      <c r="N61" s="327" t="s">
        <v>132</v>
      </c>
      <c r="O61" s="113">
        <v>496398950</v>
      </c>
      <c r="P61" s="315" t="s">
        <v>132</v>
      </c>
      <c r="Q61" s="345">
        <v>273000000</v>
      </c>
      <c r="R61" s="19"/>
      <c r="S61" s="48">
        <v>22797000</v>
      </c>
      <c r="T61" s="19"/>
      <c r="U61" s="48"/>
      <c r="V61" s="19"/>
      <c r="W61" s="48"/>
      <c r="X61" s="19"/>
      <c r="Y61" s="50"/>
      <c r="Z61" s="317">
        <f>SUM(R61,T61,V61,X61)</f>
        <v>0</v>
      </c>
      <c r="AA61" s="236">
        <f t="shared" ref="AA61:AA66" si="13">SUM(S61,U61,W61,Y61)</f>
        <v>22797000</v>
      </c>
      <c r="AB61" s="97">
        <v>25</v>
      </c>
      <c r="AC61" s="99">
        <f t="shared" ref="AC61:AC66" si="14">AA61/Q61*100</f>
        <v>8.3505494505494511</v>
      </c>
      <c r="AD61" s="100"/>
      <c r="AE61" s="101">
        <f t="shared" si="11"/>
        <v>519195950</v>
      </c>
      <c r="AF61" s="81"/>
      <c r="AG61" s="54">
        <f t="shared" si="12"/>
        <v>32.125261654006003</v>
      </c>
      <c r="AH61" s="65" t="str">
        <f>AH60</f>
        <v>Diskominfo</v>
      </c>
      <c r="AI61" s="103"/>
      <c r="AK61" s="179">
        <f>SUM(Q61-AA61)</f>
        <v>250203000</v>
      </c>
      <c r="AL61" s="179" t="e">
        <f>SUM(#REF!-S61)</f>
        <v>#REF!</v>
      </c>
    </row>
    <row r="62" spans="1:39" s="66" customFormat="1" ht="63.75" x14ac:dyDescent="0.25">
      <c r="A62" s="34"/>
      <c r="B62" s="35"/>
      <c r="C62" s="35"/>
      <c r="D62" s="35"/>
      <c r="E62" s="26" t="s">
        <v>182</v>
      </c>
      <c r="F62" s="6" t="s">
        <v>166</v>
      </c>
      <c r="G62" s="3" t="s">
        <v>115</v>
      </c>
      <c r="H62" s="21" t="s">
        <v>98</v>
      </c>
      <c r="I62" s="47">
        <v>1362047810</v>
      </c>
      <c r="J62" s="203">
        <v>0</v>
      </c>
      <c r="K62" s="203">
        <v>0</v>
      </c>
      <c r="L62" s="197" t="s">
        <v>191</v>
      </c>
      <c r="M62" s="113">
        <v>222902200</v>
      </c>
      <c r="N62" s="307" t="s">
        <v>191</v>
      </c>
      <c r="O62" s="113">
        <v>352902200</v>
      </c>
      <c r="P62" s="315" t="s">
        <v>295</v>
      </c>
      <c r="Q62" s="345">
        <v>88440000</v>
      </c>
      <c r="R62" s="292"/>
      <c r="S62" s="48">
        <v>13935000</v>
      </c>
      <c r="T62" s="19"/>
      <c r="U62" s="48"/>
      <c r="V62" s="18"/>
      <c r="W62" s="48"/>
      <c r="X62" s="18"/>
      <c r="Y62" s="50"/>
      <c r="Z62" s="318" t="s">
        <v>268</v>
      </c>
      <c r="AA62" s="236">
        <f t="shared" si="13"/>
        <v>13935000</v>
      </c>
      <c r="AB62" s="140">
        <v>15.8</v>
      </c>
      <c r="AC62" s="99">
        <f t="shared" si="14"/>
        <v>15.756445047489823</v>
      </c>
      <c r="AD62" s="141"/>
      <c r="AE62" s="101">
        <f t="shared" si="11"/>
        <v>366837200</v>
      </c>
      <c r="AF62" s="142"/>
      <c r="AG62" s="54">
        <f t="shared" si="12"/>
        <v>26.932769709456821</v>
      </c>
      <c r="AH62" s="65" t="str">
        <f>AH61</f>
        <v>Diskominfo</v>
      </c>
      <c r="AI62" s="65"/>
    </row>
    <row r="63" spans="1:39" s="66" customFormat="1" ht="63.75" x14ac:dyDescent="0.25">
      <c r="A63" s="34"/>
      <c r="B63" s="35"/>
      <c r="C63" s="35"/>
      <c r="D63" s="35"/>
      <c r="E63" s="26" t="s">
        <v>183</v>
      </c>
      <c r="F63" s="6" t="s">
        <v>118</v>
      </c>
      <c r="G63" s="3" t="s">
        <v>119</v>
      </c>
      <c r="H63" s="215" t="s">
        <v>150</v>
      </c>
      <c r="I63" s="137">
        <v>665500000</v>
      </c>
      <c r="J63" s="204">
        <v>0</v>
      </c>
      <c r="K63" s="204">
        <v>0</v>
      </c>
      <c r="L63" s="197" t="s">
        <v>193</v>
      </c>
      <c r="M63" s="113">
        <v>124837000</v>
      </c>
      <c r="N63" s="307" t="s">
        <v>193</v>
      </c>
      <c r="O63" s="113">
        <v>194811000</v>
      </c>
      <c r="P63" s="315" t="s">
        <v>296</v>
      </c>
      <c r="Q63" s="345">
        <v>70000000</v>
      </c>
      <c r="R63" s="19"/>
      <c r="S63" s="48">
        <v>16926500</v>
      </c>
      <c r="T63" s="19"/>
      <c r="U63" s="48"/>
      <c r="V63" s="18"/>
      <c r="W63" s="48"/>
      <c r="X63" s="18"/>
      <c r="Y63" s="50"/>
      <c r="Z63" s="310" t="s">
        <v>269</v>
      </c>
      <c r="AA63" s="236">
        <f t="shared" si="13"/>
        <v>16926500</v>
      </c>
      <c r="AB63" s="140">
        <v>33.29</v>
      </c>
      <c r="AC63" s="99">
        <f t="shared" si="14"/>
        <v>24.180714285714284</v>
      </c>
      <c r="AD63" s="141"/>
      <c r="AE63" s="101">
        <f t="shared" si="11"/>
        <v>211737500</v>
      </c>
      <c r="AF63" s="142"/>
      <c r="AG63" s="54">
        <f t="shared" si="12"/>
        <v>31.816303531179564</v>
      </c>
      <c r="AH63" s="65" t="str">
        <f>AH62</f>
        <v>Diskominfo</v>
      </c>
      <c r="AI63" s="65"/>
    </row>
    <row r="64" spans="1:39" s="214" customFormat="1" ht="90" thickBot="1" x14ac:dyDescent="0.3">
      <c r="A64" s="209"/>
      <c r="B64" s="210"/>
      <c r="C64" s="210"/>
      <c r="D64" s="210"/>
      <c r="E64" s="211" t="s">
        <v>99</v>
      </c>
      <c r="F64" s="212" t="s">
        <v>184</v>
      </c>
      <c r="G64" s="218" t="s">
        <v>200</v>
      </c>
      <c r="H64" s="216" t="s">
        <v>201</v>
      </c>
      <c r="I64" s="217">
        <v>239000000</v>
      </c>
      <c r="J64" s="204">
        <v>0</v>
      </c>
      <c r="K64" s="217">
        <f>SUM(K65:K67)</f>
        <v>26000000</v>
      </c>
      <c r="L64" s="204">
        <v>0</v>
      </c>
      <c r="M64" s="113">
        <v>26000000</v>
      </c>
      <c r="N64" s="328" t="s">
        <v>201</v>
      </c>
      <c r="O64" s="113">
        <v>97000000</v>
      </c>
      <c r="P64" s="356" t="s">
        <v>297</v>
      </c>
      <c r="Q64" s="348">
        <v>40000000</v>
      </c>
      <c r="R64" s="298"/>
      <c r="S64" s="299">
        <v>32270000</v>
      </c>
      <c r="T64" s="18"/>
      <c r="U64" s="48"/>
      <c r="V64" s="18"/>
      <c r="W64" s="48"/>
      <c r="X64" s="18"/>
      <c r="Y64" s="50"/>
      <c r="Z64" s="325" t="s">
        <v>196</v>
      </c>
      <c r="AA64" s="236">
        <f t="shared" si="13"/>
        <v>32270000</v>
      </c>
      <c r="AB64" s="141">
        <v>100</v>
      </c>
      <c r="AC64" s="99">
        <f t="shared" si="14"/>
        <v>80.674999999999997</v>
      </c>
      <c r="AD64" s="141"/>
      <c r="AE64" s="101">
        <f t="shared" si="11"/>
        <v>129270000</v>
      </c>
      <c r="AF64" s="142"/>
      <c r="AG64" s="54">
        <f t="shared" si="12"/>
        <v>54.087866108786606</v>
      </c>
      <c r="AH64" s="65" t="str">
        <f>AH60</f>
        <v>Diskominfo</v>
      </c>
      <c r="AI64" s="213"/>
    </row>
    <row r="65" spans="1:39" s="66" customFormat="1" ht="38.25" x14ac:dyDescent="0.25">
      <c r="A65" s="34"/>
      <c r="B65" s="35"/>
      <c r="C65" s="35"/>
      <c r="D65" s="35"/>
      <c r="E65" s="26" t="s">
        <v>103</v>
      </c>
      <c r="F65" s="93" t="s">
        <v>107</v>
      </c>
      <c r="G65" s="193" t="s">
        <v>113</v>
      </c>
      <c r="H65" s="14" t="s">
        <v>114</v>
      </c>
      <c r="I65" s="47">
        <v>824188500</v>
      </c>
      <c r="J65" s="113">
        <v>0</v>
      </c>
      <c r="K65" s="113">
        <v>0</v>
      </c>
      <c r="L65" s="115" t="s">
        <v>143</v>
      </c>
      <c r="M65" s="113">
        <v>134281877</v>
      </c>
      <c r="N65" s="327" t="s">
        <v>143</v>
      </c>
      <c r="O65" s="113">
        <v>375041546</v>
      </c>
      <c r="P65" s="315" t="s">
        <v>298</v>
      </c>
      <c r="Q65" s="345">
        <v>233755000</v>
      </c>
      <c r="R65" s="14"/>
      <c r="S65" s="98">
        <v>43259927</v>
      </c>
      <c r="T65" s="14"/>
      <c r="U65" s="98"/>
      <c r="V65" s="14"/>
      <c r="W65" s="48"/>
      <c r="X65" s="19"/>
      <c r="Y65" s="50"/>
      <c r="Z65" s="315" t="s">
        <v>114</v>
      </c>
      <c r="AA65" s="236">
        <f t="shared" si="13"/>
        <v>43259927</v>
      </c>
      <c r="AB65" s="140">
        <v>25</v>
      </c>
      <c r="AC65" s="99">
        <f t="shared" si="14"/>
        <v>18.506524780218605</v>
      </c>
      <c r="AD65" s="141"/>
      <c r="AE65" s="101">
        <f t="shared" si="11"/>
        <v>418301473</v>
      </c>
      <c r="AF65" s="142"/>
      <c r="AG65" s="54">
        <f t="shared" si="12"/>
        <v>50.753131474171262</v>
      </c>
      <c r="AH65" s="65" t="str">
        <f>AH61</f>
        <v>Diskominfo</v>
      </c>
      <c r="AI65" s="65"/>
    </row>
    <row r="66" spans="1:39" s="66" customFormat="1" ht="25.5" x14ac:dyDescent="0.25">
      <c r="A66" s="34"/>
      <c r="B66" s="35"/>
      <c r="C66" s="35"/>
      <c r="D66" s="35"/>
      <c r="E66" s="26" t="s">
        <v>185</v>
      </c>
      <c r="F66" s="6" t="s">
        <v>112</v>
      </c>
      <c r="G66" s="3" t="s">
        <v>113</v>
      </c>
      <c r="H66" s="14" t="s">
        <v>114</v>
      </c>
      <c r="I66" s="55">
        <v>1201370000</v>
      </c>
      <c r="J66" s="198" t="s">
        <v>144</v>
      </c>
      <c r="K66" s="136">
        <v>26000000</v>
      </c>
      <c r="L66" s="115" t="s">
        <v>143</v>
      </c>
      <c r="M66" s="113">
        <v>185593000</v>
      </c>
      <c r="N66" s="327" t="s">
        <v>143</v>
      </c>
      <c r="O66" s="113">
        <v>310318000</v>
      </c>
      <c r="P66" s="315" t="s">
        <v>299</v>
      </c>
      <c r="Q66" s="345">
        <v>21920000</v>
      </c>
      <c r="R66" s="14"/>
      <c r="S66" s="98">
        <v>915000</v>
      </c>
      <c r="T66" s="14"/>
      <c r="U66" s="98"/>
      <c r="V66" s="14"/>
      <c r="W66" s="48"/>
      <c r="X66" s="19"/>
      <c r="Y66" s="50"/>
      <c r="Z66" s="315" t="s">
        <v>114</v>
      </c>
      <c r="AA66" s="236">
        <f t="shared" si="13"/>
        <v>915000</v>
      </c>
      <c r="AB66" s="140">
        <v>15</v>
      </c>
      <c r="AC66" s="99">
        <f t="shared" si="14"/>
        <v>4.1742700729927007</v>
      </c>
      <c r="AD66" s="141"/>
      <c r="AE66" s="101">
        <f t="shared" si="11"/>
        <v>311233000</v>
      </c>
      <c r="AF66" s="142"/>
      <c r="AG66" s="54">
        <f t="shared" si="12"/>
        <v>25.906506738140621</v>
      </c>
      <c r="AH66" s="65" t="str">
        <f>AH62</f>
        <v>Diskominfo</v>
      </c>
      <c r="AI66" s="65"/>
    </row>
    <row r="67" spans="1:39" s="66" customFormat="1" ht="18.75" customHeight="1" x14ac:dyDescent="0.25">
      <c r="A67" s="707" t="s">
        <v>134</v>
      </c>
      <c r="B67" s="708"/>
      <c r="C67" s="708"/>
      <c r="D67" s="708"/>
      <c r="E67" s="708"/>
      <c r="F67" s="708"/>
      <c r="G67" s="708"/>
      <c r="H67" s="708"/>
      <c r="I67" s="708"/>
      <c r="J67" s="708"/>
      <c r="K67" s="708"/>
      <c r="L67" s="708"/>
      <c r="M67" s="708"/>
      <c r="N67" s="708"/>
      <c r="O67" s="708"/>
      <c r="P67" s="708"/>
      <c r="Q67" s="708"/>
      <c r="R67" s="708"/>
      <c r="S67" s="708"/>
      <c r="T67" s="708"/>
      <c r="U67" s="708"/>
      <c r="V67" s="708"/>
      <c r="W67" s="708"/>
      <c r="X67" s="708"/>
      <c r="Y67" s="708"/>
      <c r="Z67" s="708"/>
      <c r="AA67" s="709"/>
      <c r="AB67" s="82"/>
      <c r="AC67" s="172">
        <f>AVERAGE(AC60:AC66)</f>
        <v>21.830024329090218</v>
      </c>
      <c r="AD67" s="84"/>
      <c r="AE67" s="52"/>
      <c r="AF67" s="85"/>
      <c r="AG67" s="172">
        <f>AVERAGE(AG60:AG66)</f>
        <v>35.946343378390083</v>
      </c>
      <c r="AH67" s="86"/>
      <c r="AI67" s="86"/>
    </row>
    <row r="68" spans="1:39" s="66" customFormat="1" ht="30" customHeight="1" x14ac:dyDescent="0.25">
      <c r="A68" s="707" t="s">
        <v>135</v>
      </c>
      <c r="B68" s="708"/>
      <c r="C68" s="708"/>
      <c r="D68" s="708"/>
      <c r="E68" s="708"/>
      <c r="F68" s="708"/>
      <c r="G68" s="708"/>
      <c r="H68" s="708"/>
      <c r="I68" s="708"/>
      <c r="J68" s="708"/>
      <c r="K68" s="708"/>
      <c r="L68" s="708"/>
      <c r="M68" s="708"/>
      <c r="N68" s="708"/>
      <c r="O68" s="708"/>
      <c r="P68" s="708"/>
      <c r="Q68" s="708"/>
      <c r="R68" s="708"/>
      <c r="S68" s="708"/>
      <c r="T68" s="708"/>
      <c r="U68" s="708"/>
      <c r="V68" s="708"/>
      <c r="W68" s="708"/>
      <c r="X68" s="708"/>
      <c r="Y68" s="708"/>
      <c r="Z68" s="708"/>
      <c r="AA68" s="709"/>
      <c r="AB68" s="82"/>
      <c r="AC68" s="87" t="str">
        <f>IF(AC67&lt;=50,"Sangat Rendah",IF(AC67&lt;=65,"Rendah",IF(AC67&lt;=75,"Sedang",IF(AC67&lt;=90,"Tinggi",IF(AC67&lt;=100,"Sangat Tinggi","Salah")))))</f>
        <v>Sangat Rendah</v>
      </c>
      <c r="AD68" s="88"/>
      <c r="AE68" s="52"/>
      <c r="AF68" s="85"/>
      <c r="AG68" s="87" t="str">
        <f>IF(AG67&lt;=50,"Sangat Rendah",IF(AG67&lt;=65,"Rendah",IF(AG67&lt;=75,"Sedang",IF(AG67&lt;=90,"Tinggi",IF(AG67&lt;=100,"Sangat Tinggi","Salah")))))</f>
        <v>Sangat Rendah</v>
      </c>
      <c r="AH68" s="86"/>
      <c r="AI68" s="86"/>
      <c r="AM68" s="89"/>
    </row>
    <row r="69" spans="1:39" s="66" customFormat="1" ht="25.5" x14ac:dyDescent="0.25">
      <c r="A69" s="41" t="s">
        <v>146</v>
      </c>
      <c r="B69" s="42" t="s">
        <v>55</v>
      </c>
      <c r="C69" s="42" t="s">
        <v>54</v>
      </c>
      <c r="D69" s="42" t="s">
        <v>60</v>
      </c>
      <c r="E69" s="15"/>
      <c r="F69" s="33" t="s">
        <v>287</v>
      </c>
      <c r="G69" s="43"/>
      <c r="H69" s="55" t="s">
        <v>323</v>
      </c>
      <c r="I69" s="71">
        <v>2375000000</v>
      </c>
      <c r="J69" s="113"/>
      <c r="K69" s="71">
        <f>SUM(K70:K70)</f>
        <v>26000000</v>
      </c>
      <c r="L69" s="70"/>
      <c r="M69" s="71">
        <f>SUM(M70:M70)</f>
        <v>0</v>
      </c>
      <c r="N69" s="71"/>
      <c r="O69" s="71">
        <f>SUM(O70:O70)</f>
        <v>702162885</v>
      </c>
      <c r="P69" s="335"/>
      <c r="Q69" s="341">
        <f>SUM(Q70:Q70)</f>
        <v>130000000</v>
      </c>
      <c r="R69" s="15"/>
      <c r="S69" s="71">
        <f>SUM(S70:S70)</f>
        <v>2454680</v>
      </c>
      <c r="T69" s="15"/>
      <c r="U69" s="71">
        <f>SUM(U70:U70)</f>
        <v>0</v>
      </c>
      <c r="V69" s="15"/>
      <c r="W69" s="71">
        <f>SUM(W70:W70)</f>
        <v>0</v>
      </c>
      <c r="X69" s="322"/>
      <c r="Y69" s="71">
        <f>SUM(Y70:Y70)</f>
        <v>0</v>
      </c>
      <c r="Z69" s="317">
        <f>SUM(R69,T69,V69,X69)</f>
        <v>0</v>
      </c>
      <c r="AA69" s="71">
        <f>SUM(AA70:AA70)</f>
        <v>2454680</v>
      </c>
      <c r="AB69" s="147"/>
      <c r="AC69" s="99">
        <f>AA69/Q69*100</f>
        <v>1.8882153846153846</v>
      </c>
      <c r="AD69" s="148"/>
      <c r="AE69" s="71">
        <f>AA69+O69</f>
        <v>704617565</v>
      </c>
      <c r="AF69" s="149"/>
      <c r="AG69" s="54"/>
      <c r="AH69" s="76"/>
      <c r="AI69" s="76"/>
    </row>
    <row r="70" spans="1:39" s="66" customFormat="1" ht="25.5" x14ac:dyDescent="0.25">
      <c r="A70" s="34"/>
      <c r="B70" s="35"/>
      <c r="C70" s="35"/>
      <c r="D70" s="35"/>
      <c r="E70" s="26" t="s">
        <v>185</v>
      </c>
      <c r="F70" s="6" t="s">
        <v>288</v>
      </c>
      <c r="G70" s="3"/>
      <c r="H70" s="55" t="s">
        <v>322</v>
      </c>
      <c r="I70" s="55">
        <v>2370000000</v>
      </c>
      <c r="J70" s="198" t="s">
        <v>144</v>
      </c>
      <c r="K70" s="136">
        <v>26000000</v>
      </c>
      <c r="L70" s="115" t="s">
        <v>143</v>
      </c>
      <c r="M70" s="113"/>
      <c r="N70" s="327" t="s">
        <v>324</v>
      </c>
      <c r="O70" s="113">
        <v>702162885</v>
      </c>
      <c r="P70" s="315" t="s">
        <v>289</v>
      </c>
      <c r="Q70" s="345">
        <v>130000000</v>
      </c>
      <c r="R70" s="14"/>
      <c r="S70" s="98">
        <v>2454680</v>
      </c>
      <c r="T70" s="14"/>
      <c r="U70" s="98"/>
      <c r="V70" s="14"/>
      <c r="W70" s="48"/>
      <c r="X70" s="19"/>
      <c r="Y70" s="50"/>
      <c r="Z70" s="315">
        <v>0</v>
      </c>
      <c r="AA70" s="236">
        <f>SUM(S70,U70,W70,Y70)</f>
        <v>2454680</v>
      </c>
      <c r="AB70" s="140">
        <v>20</v>
      </c>
      <c r="AC70" s="99">
        <f>AA70/Q70*100</f>
        <v>1.8882153846153846</v>
      </c>
      <c r="AD70" s="141"/>
      <c r="AE70" s="101">
        <f>O70+AA70</f>
        <v>704617565</v>
      </c>
      <c r="AF70" s="142"/>
      <c r="AG70" s="54">
        <f>SUM(AE70/I70)*100</f>
        <v>29.730698945147676</v>
      </c>
      <c r="AH70" s="65" t="s">
        <v>31</v>
      </c>
      <c r="AI70" s="65"/>
    </row>
    <row r="71" spans="1:39" s="66" customFormat="1" ht="18.75" customHeight="1" x14ac:dyDescent="0.25">
      <c r="A71" s="707" t="s">
        <v>134</v>
      </c>
      <c r="B71" s="708"/>
      <c r="C71" s="708"/>
      <c r="D71" s="708"/>
      <c r="E71" s="708"/>
      <c r="F71" s="708"/>
      <c r="G71" s="708"/>
      <c r="H71" s="708"/>
      <c r="I71" s="708"/>
      <c r="J71" s="708"/>
      <c r="K71" s="708"/>
      <c r="L71" s="708"/>
      <c r="M71" s="708"/>
      <c r="N71" s="708"/>
      <c r="O71" s="708"/>
      <c r="P71" s="708"/>
      <c r="Q71" s="708"/>
      <c r="R71" s="708"/>
      <c r="S71" s="708"/>
      <c r="T71" s="708"/>
      <c r="U71" s="708"/>
      <c r="V71" s="708"/>
      <c r="W71" s="708"/>
      <c r="X71" s="708"/>
      <c r="Y71" s="708"/>
      <c r="Z71" s="708"/>
      <c r="AA71" s="709"/>
      <c r="AB71" s="82"/>
      <c r="AC71" s="172">
        <f>AVERAGE(AC70:AC70)</f>
        <v>1.8882153846153846</v>
      </c>
      <c r="AD71" s="84"/>
      <c r="AE71" s="52"/>
      <c r="AF71" s="85"/>
      <c r="AG71" s="172">
        <f>AVERAGE(AG70:AG70)</f>
        <v>29.730698945147676</v>
      </c>
      <c r="AH71" s="86"/>
      <c r="AI71" s="86"/>
    </row>
    <row r="72" spans="1:39" s="66" customFormat="1" ht="30" customHeight="1" x14ac:dyDescent="0.25">
      <c r="A72" s="707" t="s">
        <v>135</v>
      </c>
      <c r="B72" s="708"/>
      <c r="C72" s="708"/>
      <c r="D72" s="708"/>
      <c r="E72" s="708"/>
      <c r="F72" s="708"/>
      <c r="G72" s="708"/>
      <c r="H72" s="708"/>
      <c r="I72" s="708"/>
      <c r="J72" s="708"/>
      <c r="K72" s="708"/>
      <c r="L72" s="708"/>
      <c r="M72" s="708"/>
      <c r="N72" s="708"/>
      <c r="O72" s="708"/>
      <c r="P72" s="708"/>
      <c r="Q72" s="708"/>
      <c r="R72" s="708"/>
      <c r="S72" s="708"/>
      <c r="T72" s="708"/>
      <c r="U72" s="708"/>
      <c r="V72" s="708"/>
      <c r="W72" s="708"/>
      <c r="X72" s="708"/>
      <c r="Y72" s="708"/>
      <c r="Z72" s="708"/>
      <c r="AA72" s="709"/>
      <c r="AB72" s="82"/>
      <c r="AC72" s="87" t="str">
        <f>IF(AC71&lt;=50,"Sangat Rendah",IF(AC71&lt;=65,"Rendah",IF(AC71&lt;=75,"Sedang",IF(AC71&lt;=90,"Tinggi",IF(AC71&lt;=100,"Sangat Tinggi","Salah")))))</f>
        <v>Sangat Rendah</v>
      </c>
      <c r="AD72" s="88"/>
      <c r="AE72" s="52"/>
      <c r="AF72" s="85"/>
      <c r="AG72" s="87" t="str">
        <f>IF(AG71&lt;=50,"Sangat Rendah",IF(AG71&lt;=65,"Rendah",IF(AG71&lt;=75,"Sedang",IF(AG71&lt;=90,"Tinggi",IF(AG71&lt;=100,"Sangat Tinggi","Salah")))))</f>
        <v>Sangat Rendah</v>
      </c>
      <c r="AH72" s="86"/>
      <c r="AI72" s="86"/>
      <c r="AM72" s="89"/>
    </row>
    <row r="73" spans="1:39" s="66" customFormat="1" ht="18" customHeight="1" x14ac:dyDescent="0.25">
      <c r="A73" s="704" t="s">
        <v>145</v>
      </c>
      <c r="B73" s="705"/>
      <c r="C73" s="705"/>
      <c r="D73" s="705"/>
      <c r="E73" s="705"/>
      <c r="F73" s="705"/>
      <c r="G73" s="705"/>
      <c r="H73" s="705"/>
      <c r="I73" s="705"/>
      <c r="J73" s="705"/>
      <c r="K73" s="705"/>
      <c r="L73" s="705"/>
      <c r="M73" s="705"/>
      <c r="N73" s="705"/>
      <c r="O73" s="705"/>
      <c r="P73" s="706"/>
      <c r="Q73" s="349">
        <f>SUM(Q15,Q25,Q33,Q37,Q52,Q59,Q69)</f>
        <v>3387815000</v>
      </c>
      <c r="R73" s="51"/>
      <c r="S73" s="150">
        <f>SUM(S15,S25,S33,S37,S52,S59,S69)</f>
        <v>336093649</v>
      </c>
      <c r="T73" s="51"/>
      <c r="U73" s="150">
        <f>SUM(U15,U25,U33,U37,U52,U59)</f>
        <v>0</v>
      </c>
      <c r="V73" s="51"/>
      <c r="W73" s="150"/>
      <c r="X73" s="324"/>
      <c r="Y73" s="150">
        <f>SUM(Y15,Y25,Y33,Y37,Y52,Y59)</f>
        <v>0</v>
      </c>
      <c r="Z73" s="316"/>
      <c r="AA73" s="150">
        <f>SUM(AA16,AA25,AA33,AA37,AA52,AA59)</f>
        <v>298388527</v>
      </c>
      <c r="AB73" s="51"/>
      <c r="AC73" s="51"/>
      <c r="AD73" s="51"/>
      <c r="AE73" s="51"/>
      <c r="AF73" s="51"/>
      <c r="AG73" s="51"/>
      <c r="AH73" s="151"/>
      <c r="AI73" s="151"/>
    </row>
    <row r="74" spans="1:39" s="66" customFormat="1" ht="20.25" customHeight="1" x14ac:dyDescent="0.25">
      <c r="A74" s="712" t="s">
        <v>147</v>
      </c>
      <c r="B74" s="713"/>
      <c r="C74" s="713"/>
      <c r="D74" s="713"/>
      <c r="E74" s="713"/>
      <c r="F74" s="713"/>
      <c r="G74" s="713"/>
      <c r="H74" s="713"/>
      <c r="I74" s="713"/>
      <c r="J74" s="713"/>
      <c r="K74" s="713"/>
      <c r="L74" s="713"/>
      <c r="M74" s="713"/>
      <c r="N74" s="713"/>
      <c r="O74" s="713"/>
      <c r="P74" s="713"/>
      <c r="Q74" s="713"/>
      <c r="R74" s="713"/>
      <c r="S74" s="713"/>
      <c r="T74" s="713"/>
      <c r="U74" s="713"/>
      <c r="V74" s="713"/>
      <c r="W74" s="713"/>
      <c r="X74" s="713"/>
      <c r="Y74" s="713"/>
      <c r="Z74" s="713"/>
      <c r="AA74" s="714"/>
      <c r="AB74" s="152"/>
      <c r="AC74" s="172">
        <f>AVERAGE(AC23,AC31,AC35,AC49,AC57,AC67,AC71)</f>
        <v>13.189925358716184</v>
      </c>
      <c r="AD74" s="51"/>
      <c r="AE74" s="51"/>
      <c r="AF74" s="153"/>
      <c r="AG74" s="172">
        <f>AVERAGE(AG23,AG31,AG35,AG49,AG57,AG67)</f>
        <v>56.754071107259186</v>
      </c>
      <c r="AH74" s="151"/>
      <c r="AI74" s="151"/>
    </row>
    <row r="75" spans="1:39" s="66" customFormat="1" ht="28.5" customHeight="1" x14ac:dyDescent="0.25">
      <c r="A75" s="712" t="s">
        <v>148</v>
      </c>
      <c r="B75" s="713"/>
      <c r="C75" s="713"/>
      <c r="D75" s="713"/>
      <c r="E75" s="713"/>
      <c r="F75" s="713"/>
      <c r="G75" s="713"/>
      <c r="H75" s="713"/>
      <c r="I75" s="713"/>
      <c r="J75" s="713"/>
      <c r="K75" s="713"/>
      <c r="L75" s="713"/>
      <c r="M75" s="713"/>
      <c r="N75" s="713"/>
      <c r="O75" s="713"/>
      <c r="P75" s="713"/>
      <c r="Q75" s="713"/>
      <c r="R75" s="713"/>
      <c r="S75" s="713"/>
      <c r="T75" s="713"/>
      <c r="U75" s="713"/>
      <c r="V75" s="713"/>
      <c r="W75" s="713"/>
      <c r="X75" s="713"/>
      <c r="Y75" s="713"/>
      <c r="Z75" s="713"/>
      <c r="AA75" s="714"/>
      <c r="AB75" s="154"/>
      <c r="AC75" s="87" t="str">
        <f>IF(AC74&lt;=50,"Sangat Rendah",IF(AC74&lt;=65,"Rendah",IF(AC74&lt;=75,"Sedang",IF(AC74&lt;=90,"Tinggi",IF(AC74&lt;=100,"Sangat Tinggi","Salah")))))</f>
        <v>Sangat Rendah</v>
      </c>
      <c r="AD75" s="51"/>
      <c r="AE75" s="51"/>
      <c r="AF75" s="153"/>
      <c r="AG75" s="87" t="str">
        <f>IF(AG74&lt;=50,"Sangat Rendah",IF(AG74&lt;=65,"Rendah",IF(AG74&lt;=75,"Sedang",IF(AG74&lt;=90,"Tinggi",IF(AG74&lt;=100,"Sangat Tinggi","Salah")))))</f>
        <v>Rendah</v>
      </c>
      <c r="AH75" s="151"/>
      <c r="AI75" s="151"/>
    </row>
    <row r="76" spans="1:39" s="66" customFormat="1" ht="15" customHeight="1" x14ac:dyDescent="0.25">
      <c r="A76" s="45" t="s">
        <v>34</v>
      </c>
      <c r="B76" s="46"/>
      <c r="C76" s="46"/>
      <c r="D76" s="46"/>
      <c r="E76" s="46"/>
      <c r="F76" s="46"/>
      <c r="G76" s="715"/>
      <c r="H76" s="715"/>
      <c r="I76" s="715"/>
      <c r="J76" s="715"/>
      <c r="K76" s="715"/>
      <c r="L76" s="715"/>
      <c r="M76" s="715"/>
      <c r="N76" s="715"/>
      <c r="O76" s="715"/>
      <c r="P76" s="715"/>
      <c r="Q76" s="715"/>
      <c r="R76" s="715"/>
      <c r="S76" s="715"/>
      <c r="T76" s="715"/>
      <c r="U76" s="715"/>
      <c r="V76" s="715"/>
      <c r="W76" s="715"/>
      <c r="X76" s="715"/>
      <c r="Y76" s="715"/>
      <c r="Z76" s="715"/>
      <c r="AA76" s="715"/>
      <c r="AB76" s="715"/>
      <c r="AC76" s="715"/>
      <c r="AD76" s="715"/>
      <c r="AE76" s="715"/>
      <c r="AF76" s="715"/>
      <c r="AG76" s="715"/>
      <c r="AH76" s="715"/>
      <c r="AI76" s="716"/>
    </row>
    <row r="77" spans="1:39" s="66" customFormat="1" ht="15" customHeight="1" x14ac:dyDescent="0.2">
      <c r="A77" s="45" t="s">
        <v>35</v>
      </c>
      <c r="B77" s="155"/>
      <c r="C77" s="155"/>
      <c r="D77" s="155"/>
      <c r="E77" s="155"/>
      <c r="F77" s="155"/>
      <c r="G77" s="715"/>
      <c r="H77" s="715"/>
      <c r="I77" s="715"/>
      <c r="J77" s="715"/>
      <c r="K77" s="715"/>
      <c r="L77" s="715"/>
      <c r="M77" s="715"/>
      <c r="N77" s="715"/>
      <c r="O77" s="715"/>
      <c r="P77" s="715"/>
      <c r="Q77" s="715"/>
      <c r="R77" s="715"/>
      <c r="S77" s="715"/>
      <c r="T77" s="715"/>
      <c r="U77" s="715"/>
      <c r="V77" s="715"/>
      <c r="W77" s="715"/>
      <c r="X77" s="715"/>
      <c r="Y77" s="715"/>
      <c r="Z77" s="715"/>
      <c r="AA77" s="715"/>
      <c r="AB77" s="715"/>
      <c r="AC77" s="715"/>
      <c r="AD77" s="715"/>
      <c r="AE77" s="715"/>
      <c r="AF77" s="715"/>
      <c r="AG77" s="715"/>
      <c r="AH77" s="715"/>
      <c r="AI77" s="716"/>
    </row>
    <row r="78" spans="1:39" s="66" customFormat="1" ht="15" customHeight="1" x14ac:dyDescent="0.2">
      <c r="A78" s="45" t="s">
        <v>36</v>
      </c>
      <c r="B78" s="155"/>
      <c r="C78" s="155"/>
      <c r="D78" s="155"/>
      <c r="E78" s="155"/>
      <c r="F78" s="155"/>
      <c r="G78" s="715"/>
      <c r="H78" s="715"/>
      <c r="I78" s="715"/>
      <c r="J78" s="715"/>
      <c r="K78" s="715"/>
      <c r="L78" s="715"/>
      <c r="M78" s="715"/>
      <c r="N78" s="715"/>
      <c r="O78" s="715"/>
      <c r="P78" s="715"/>
      <c r="Q78" s="715"/>
      <c r="R78" s="715"/>
      <c r="S78" s="715"/>
      <c r="T78" s="715"/>
      <c r="U78" s="715"/>
      <c r="V78" s="715"/>
      <c r="W78" s="715"/>
      <c r="X78" s="715"/>
      <c r="Y78" s="715"/>
      <c r="Z78" s="715"/>
      <c r="AA78" s="715"/>
      <c r="AB78" s="715"/>
      <c r="AC78" s="715"/>
      <c r="AD78" s="715"/>
      <c r="AE78" s="715"/>
      <c r="AF78" s="715"/>
      <c r="AG78" s="715"/>
      <c r="AH78" s="715"/>
      <c r="AI78" s="716"/>
    </row>
    <row r="79" spans="1:39" ht="15" customHeight="1" x14ac:dyDescent="0.25">
      <c r="A79" s="45" t="s">
        <v>37</v>
      </c>
      <c r="B79" s="155"/>
      <c r="C79" s="155"/>
      <c r="D79" s="155"/>
      <c r="E79" s="155"/>
      <c r="F79" s="155"/>
      <c r="G79" s="715"/>
      <c r="H79" s="715"/>
      <c r="I79" s="715"/>
      <c r="J79" s="715"/>
      <c r="K79" s="715"/>
      <c r="L79" s="715"/>
      <c r="M79" s="715"/>
      <c r="N79" s="715"/>
      <c r="O79" s="715"/>
      <c r="P79" s="715"/>
      <c r="Q79" s="715"/>
      <c r="R79" s="715"/>
      <c r="S79" s="715"/>
      <c r="T79" s="715"/>
      <c r="U79" s="715"/>
      <c r="V79" s="715"/>
      <c r="W79" s="715"/>
      <c r="X79" s="715"/>
      <c r="Y79" s="715"/>
      <c r="Z79" s="715"/>
      <c r="AA79" s="715"/>
      <c r="AB79" s="715"/>
      <c r="AC79" s="715"/>
      <c r="AD79" s="715"/>
      <c r="AE79" s="715"/>
      <c r="AF79" s="715"/>
      <c r="AG79" s="715"/>
      <c r="AH79" s="715"/>
      <c r="AI79" s="716"/>
    </row>
    <row r="80" spans="1:39" ht="7.5" customHeight="1" x14ac:dyDescent="0.25">
      <c r="J80" s="200"/>
      <c r="K80" s="200"/>
      <c r="W80" s="58"/>
    </row>
    <row r="81" spans="9:32" x14ac:dyDescent="0.25">
      <c r="I81" s="300" t="s">
        <v>10</v>
      </c>
      <c r="J81" s="205"/>
      <c r="K81" s="205"/>
      <c r="AC81" s="58"/>
      <c r="AD81" s="702" t="s">
        <v>11</v>
      </c>
      <c r="AE81" s="702"/>
      <c r="AF81" s="58"/>
    </row>
    <row r="82" spans="9:32" ht="12.75" customHeight="1" x14ac:dyDescent="0.25">
      <c r="I82" s="711" t="s">
        <v>253</v>
      </c>
      <c r="J82" s="711"/>
      <c r="K82" s="711"/>
      <c r="L82" s="711"/>
      <c r="M82" s="711"/>
      <c r="N82" s="711"/>
      <c r="O82" s="711"/>
      <c r="AC82" s="702" t="s">
        <v>202</v>
      </c>
      <c r="AD82" s="702"/>
      <c r="AE82" s="702"/>
      <c r="AF82" s="702"/>
    </row>
    <row r="83" spans="9:32" ht="4.5" customHeight="1" x14ac:dyDescent="0.25">
      <c r="J83" s="200"/>
      <c r="K83" s="200"/>
      <c r="AC83" s="58"/>
      <c r="AD83" s="58"/>
      <c r="AE83" s="59"/>
      <c r="AF83" s="58"/>
    </row>
    <row r="84" spans="9:32" x14ac:dyDescent="0.25">
      <c r="I84" s="711"/>
      <c r="J84" s="711"/>
      <c r="K84" s="711"/>
      <c r="L84" s="711"/>
      <c r="M84" s="711"/>
      <c r="N84" s="711"/>
      <c r="O84" s="711"/>
      <c r="Q84" s="350"/>
      <c r="AC84" s="702" t="s">
        <v>38</v>
      </c>
      <c r="AD84" s="702"/>
      <c r="AE84" s="702"/>
      <c r="AF84" s="702"/>
    </row>
    <row r="85" spans="9:32" ht="12.75" customHeight="1" x14ac:dyDescent="0.25">
      <c r="I85" s="711"/>
      <c r="J85" s="711"/>
      <c r="K85" s="711"/>
      <c r="L85" s="711"/>
      <c r="M85" s="711"/>
      <c r="N85" s="711"/>
      <c r="O85" s="711"/>
      <c r="AC85" s="702" t="s">
        <v>12</v>
      </c>
      <c r="AD85" s="702"/>
      <c r="AE85" s="702"/>
      <c r="AF85" s="702"/>
    </row>
    <row r="86" spans="9:32" ht="6" customHeight="1" x14ac:dyDescent="0.25">
      <c r="I86" s="711"/>
      <c r="J86" s="711"/>
      <c r="K86" s="711"/>
      <c r="L86" s="711"/>
      <c r="M86" s="711"/>
      <c r="N86" s="711"/>
      <c r="O86" s="711"/>
      <c r="AC86" s="702"/>
      <c r="AD86" s="702"/>
      <c r="AE86" s="702"/>
      <c r="AF86" s="702"/>
    </row>
    <row r="87" spans="9:32" ht="6.75" customHeight="1" x14ac:dyDescent="0.25">
      <c r="J87" s="200"/>
      <c r="K87" s="200"/>
      <c r="AC87" s="58"/>
      <c r="AD87" s="58"/>
      <c r="AE87" s="59"/>
      <c r="AF87" s="58"/>
    </row>
    <row r="88" spans="9:32" x14ac:dyDescent="0.25">
      <c r="Q88" s="351"/>
      <c r="R88" s="156"/>
      <c r="AC88" s="58"/>
      <c r="AD88" s="58"/>
      <c r="AE88" s="59"/>
      <c r="AF88" s="58"/>
    </row>
    <row r="89" spans="9:32" ht="12.75" customHeight="1" x14ac:dyDescent="0.25">
      <c r="I89" s="717"/>
      <c r="J89" s="717"/>
      <c r="K89" s="717"/>
      <c r="L89" s="717"/>
      <c r="M89" s="717"/>
      <c r="N89" s="717"/>
      <c r="O89" s="717"/>
      <c r="Q89" s="351"/>
      <c r="AC89" s="703"/>
      <c r="AD89" s="703"/>
      <c r="AE89" s="703"/>
      <c r="AF89" s="703"/>
    </row>
    <row r="90" spans="9:32" ht="12.75" customHeight="1" x14ac:dyDescent="0.25">
      <c r="I90" s="711"/>
      <c r="J90" s="711"/>
      <c r="K90" s="711"/>
      <c r="L90" s="711"/>
      <c r="M90" s="711"/>
      <c r="N90" s="711"/>
      <c r="O90" s="711"/>
      <c r="AC90" s="702"/>
      <c r="AD90" s="702"/>
      <c r="AE90" s="702"/>
      <c r="AF90" s="702"/>
    </row>
    <row r="91" spans="9:32" ht="12.75" customHeight="1" x14ac:dyDescent="0.25">
      <c r="I91" s="711"/>
      <c r="J91" s="711"/>
      <c r="K91" s="711"/>
      <c r="L91" s="711"/>
      <c r="M91" s="711"/>
      <c r="N91" s="711"/>
      <c r="O91" s="711"/>
      <c r="Q91" s="350"/>
      <c r="AC91" s="702"/>
      <c r="AD91" s="702"/>
      <c r="AE91" s="702"/>
      <c r="AF91" s="702"/>
    </row>
    <row r="92" spans="9:32" x14ac:dyDescent="0.25">
      <c r="W92" s="58"/>
    </row>
    <row r="93" spans="9:32" x14ac:dyDescent="0.25">
      <c r="Q93" s="352"/>
      <c r="W93" s="58"/>
    </row>
    <row r="94" spans="9:32" x14ac:dyDescent="0.25">
      <c r="I94" s="206"/>
      <c r="J94" s="206"/>
      <c r="K94" s="206"/>
      <c r="W94" s="58"/>
    </row>
    <row r="95" spans="9:32" x14ac:dyDescent="0.25">
      <c r="J95" s="200"/>
      <c r="K95" s="200"/>
      <c r="W95" s="58"/>
    </row>
    <row r="96" spans="9:32" x14ac:dyDescent="0.25">
      <c r="J96" s="200"/>
      <c r="K96" s="200"/>
      <c r="W96" s="58"/>
    </row>
    <row r="97" spans="23:23" x14ac:dyDescent="0.25">
      <c r="W97" s="58"/>
    </row>
    <row r="98" spans="23:23" x14ac:dyDescent="0.25">
      <c r="W98" s="58"/>
    </row>
    <row r="99" spans="23:23" x14ac:dyDescent="0.25">
      <c r="W99" s="58"/>
    </row>
    <row r="100" spans="23:23" x14ac:dyDescent="0.25">
      <c r="W100" s="58"/>
    </row>
    <row r="101" spans="23:23" x14ac:dyDescent="0.25">
      <c r="W101" s="58"/>
    </row>
    <row r="102" spans="23:23" x14ac:dyDescent="0.25">
      <c r="W102" s="58"/>
    </row>
    <row r="103" spans="23:23" x14ac:dyDescent="0.25">
      <c r="W103" s="58"/>
    </row>
  </sheetData>
  <mergeCells count="78">
    <mergeCell ref="X9:Y10"/>
    <mergeCell ref="A67:AA67"/>
    <mergeCell ref="J11:K11"/>
    <mergeCell ref="N11:O11"/>
    <mergeCell ref="A11:A12"/>
    <mergeCell ref="A24:AA24"/>
    <mergeCell ref="A31:AA31"/>
    <mergeCell ref="H8:I10"/>
    <mergeCell ref="F8:F10"/>
    <mergeCell ref="G8:G10"/>
    <mergeCell ref="L11:M11"/>
    <mergeCell ref="F11:F12"/>
    <mergeCell ref="V9:W10"/>
    <mergeCell ref="L8:M10"/>
    <mergeCell ref="A3:AI3"/>
    <mergeCell ref="AI8:AI10"/>
    <mergeCell ref="AI11:AI12"/>
    <mergeCell ref="AH8:AH10"/>
    <mergeCell ref="AH11:AH12"/>
    <mergeCell ref="AF8:AG10"/>
    <mergeCell ref="AF11:AG11"/>
    <mergeCell ref="AB11:AC11"/>
    <mergeCell ref="AD8:AE10"/>
    <mergeCell ref="AD11:AE11"/>
    <mergeCell ref="R9:S10"/>
    <mergeCell ref="R11:S11"/>
    <mergeCell ref="J8:K10"/>
    <mergeCell ref="A8:A10"/>
    <mergeCell ref="R8:Y8"/>
    <mergeCell ref="X11:Y11"/>
    <mergeCell ref="A1:AI1"/>
    <mergeCell ref="A2:AI2"/>
    <mergeCell ref="A23:AA23"/>
    <mergeCell ref="AB8:AC10"/>
    <mergeCell ref="Z11:AA11"/>
    <mergeCell ref="G11:G12"/>
    <mergeCell ref="V11:W11"/>
    <mergeCell ref="P8:Q10"/>
    <mergeCell ref="P11:Q11"/>
    <mergeCell ref="B8:E10"/>
    <mergeCell ref="B11:E12"/>
    <mergeCell ref="H11:I11"/>
    <mergeCell ref="T11:U11"/>
    <mergeCell ref="Z8:AA10"/>
    <mergeCell ref="N8:O10"/>
    <mergeCell ref="T9:U10"/>
    <mergeCell ref="I89:O89"/>
    <mergeCell ref="I90:O90"/>
    <mergeCell ref="I91:O91"/>
    <mergeCell ref="I84:O84"/>
    <mergeCell ref="I85:O85"/>
    <mergeCell ref="I86:O86"/>
    <mergeCell ref="I82:O82"/>
    <mergeCell ref="A74:AA74"/>
    <mergeCell ref="A75:AA75"/>
    <mergeCell ref="G79:AI79"/>
    <mergeCell ref="G78:AI78"/>
    <mergeCell ref="G77:AI77"/>
    <mergeCell ref="G76:AI76"/>
    <mergeCell ref="A73:P73"/>
    <mergeCell ref="A32:AA32"/>
    <mergeCell ref="A35:AA35"/>
    <mergeCell ref="A36:AA36"/>
    <mergeCell ref="A49:AA49"/>
    <mergeCell ref="A51:AA51"/>
    <mergeCell ref="A68:AA68"/>
    <mergeCell ref="A57:AA57"/>
    <mergeCell ref="A58:AA58"/>
    <mergeCell ref="A71:AA71"/>
    <mergeCell ref="A72:AA72"/>
    <mergeCell ref="AC91:AF91"/>
    <mergeCell ref="AD81:AE81"/>
    <mergeCell ref="AC82:AF82"/>
    <mergeCell ref="AC84:AF84"/>
    <mergeCell ref="AC90:AF90"/>
    <mergeCell ref="AC85:AF85"/>
    <mergeCell ref="AC89:AF89"/>
    <mergeCell ref="AC86:AF86"/>
  </mergeCells>
  <pageMargins left="0.55118110236220474" right="0.19685039370078741" top="0.27559055118110237" bottom="0.31496062992125984" header="0.23622047244094491" footer="0.27559055118110237"/>
  <pageSetup paperSize="5" scale="55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2"/>
  <sheetViews>
    <sheetView view="pageBreakPreview" zoomScaleSheetLayoutView="100" workbookViewId="0">
      <selection activeCell="G42" sqref="G42"/>
    </sheetView>
  </sheetViews>
  <sheetFormatPr defaultRowHeight="12.75" x14ac:dyDescent="0.25"/>
  <cols>
    <col min="1" max="1" width="8.85546875" style="508" customWidth="1"/>
    <col min="2" max="2" width="14.7109375" style="458" customWidth="1"/>
    <col min="3" max="3" width="22.5703125" style="459" customWidth="1"/>
    <col min="4" max="4" width="24.140625" style="459" customWidth="1"/>
    <col min="5" max="5" width="9.7109375" style="459" customWidth="1"/>
    <col min="6" max="6" width="13.85546875" style="460" customWidth="1"/>
    <col min="7" max="7" width="10.7109375" style="458" customWidth="1"/>
    <col min="8" max="8" width="13.85546875" style="458" customWidth="1"/>
    <col min="9" max="9" width="9.85546875" style="431" customWidth="1"/>
    <col min="10" max="10" width="13.5703125" style="58" customWidth="1"/>
    <col min="11" max="11" width="7.7109375" style="492" customWidth="1"/>
    <col min="12" max="12" width="10.5703125" style="473" customWidth="1"/>
    <col min="13" max="13" width="6.28515625" style="458" customWidth="1"/>
    <col min="14" max="14" width="11.28515625" style="663" customWidth="1"/>
    <col min="15" max="15" width="5.7109375" style="458" customWidth="1"/>
    <col min="16" max="16" width="6.42578125" style="458" customWidth="1"/>
    <col min="17" max="17" width="5.7109375" style="501" customWidth="1"/>
    <col min="18" max="18" width="6.140625" style="461" customWidth="1"/>
    <col min="19" max="19" width="6.85546875" style="492" customWidth="1"/>
    <col min="20" max="20" width="12.28515625" style="458" customWidth="1"/>
    <col min="21" max="21" width="5.42578125" style="492" customWidth="1"/>
    <col min="22" max="22" width="8.42578125" style="458" customWidth="1"/>
    <col min="23" max="23" width="12.85546875" style="492" customWidth="1"/>
    <col min="24" max="24" width="13.42578125" style="492" customWidth="1"/>
    <col min="25" max="25" width="8.5703125" style="492" customWidth="1"/>
    <col min="26" max="26" width="7.42578125" style="458" customWidth="1"/>
    <col min="27" max="27" width="9" style="459" customWidth="1"/>
    <col min="28" max="28" width="9.140625" style="458"/>
    <col min="29" max="29" width="10.42578125" style="458" customWidth="1"/>
    <col min="30" max="16384" width="9.140625" style="458"/>
  </cols>
  <sheetData>
    <row r="1" spans="1:30" ht="16.5" x14ac:dyDescent="0.3">
      <c r="A1" s="810" t="s">
        <v>444</v>
      </c>
      <c r="B1" s="810"/>
      <c r="C1" s="810"/>
      <c r="D1" s="810"/>
      <c r="E1" s="810"/>
      <c r="F1" s="810"/>
      <c r="G1" s="810"/>
      <c r="H1" s="810"/>
      <c r="I1" s="810"/>
      <c r="J1" s="810"/>
      <c r="K1" s="810"/>
      <c r="L1" s="810"/>
      <c r="M1" s="810"/>
      <c r="N1" s="810"/>
      <c r="O1" s="810"/>
      <c r="P1" s="810"/>
      <c r="Q1" s="810"/>
      <c r="R1" s="810"/>
      <c r="S1" s="810"/>
      <c r="T1" s="810"/>
      <c r="U1" s="810"/>
      <c r="V1" s="810"/>
      <c r="W1" s="810"/>
      <c r="X1" s="810"/>
      <c r="Y1" s="810"/>
      <c r="Z1" s="810"/>
      <c r="AA1" s="810"/>
    </row>
    <row r="2" spans="1:30" ht="16.5" x14ac:dyDescent="0.3">
      <c r="A2" s="810" t="s">
        <v>445</v>
      </c>
      <c r="B2" s="810"/>
      <c r="C2" s="810"/>
      <c r="D2" s="810"/>
      <c r="E2" s="810"/>
      <c r="F2" s="810"/>
      <c r="G2" s="810"/>
      <c r="H2" s="810"/>
      <c r="I2" s="810"/>
      <c r="J2" s="810"/>
      <c r="K2" s="810"/>
      <c r="L2" s="810"/>
      <c r="M2" s="810"/>
      <c r="N2" s="810"/>
      <c r="O2" s="810"/>
      <c r="P2" s="810"/>
      <c r="Q2" s="810"/>
      <c r="R2" s="810"/>
      <c r="S2" s="810"/>
      <c r="T2" s="810"/>
      <c r="U2" s="810"/>
      <c r="V2" s="810"/>
      <c r="W2" s="810"/>
      <c r="X2" s="810"/>
      <c r="Y2" s="810"/>
      <c r="Z2" s="810"/>
      <c r="AA2" s="810"/>
    </row>
    <row r="3" spans="1:30" ht="16.5" x14ac:dyDescent="0.3">
      <c r="A3" s="810" t="s">
        <v>446</v>
      </c>
      <c r="B3" s="810"/>
      <c r="C3" s="810"/>
      <c r="D3" s="810"/>
      <c r="E3" s="810"/>
      <c r="F3" s="810"/>
      <c r="G3" s="810"/>
      <c r="H3" s="810"/>
      <c r="I3" s="810"/>
      <c r="J3" s="810"/>
      <c r="K3" s="810"/>
      <c r="L3" s="810"/>
      <c r="M3" s="810"/>
      <c r="N3" s="810"/>
      <c r="O3" s="810"/>
      <c r="P3" s="810"/>
      <c r="Q3" s="810"/>
      <c r="R3" s="810"/>
      <c r="S3" s="810"/>
      <c r="T3" s="810"/>
      <c r="U3" s="810"/>
      <c r="V3" s="810"/>
      <c r="W3" s="810"/>
      <c r="X3" s="810"/>
      <c r="Y3" s="810"/>
      <c r="Z3" s="810"/>
      <c r="AA3" s="810"/>
    </row>
    <row r="4" spans="1:30" ht="5.25" customHeight="1" x14ac:dyDescent="0.25"/>
    <row r="5" spans="1:30" ht="15" customHeight="1" x14ac:dyDescent="0.25">
      <c r="A5" s="640" t="s">
        <v>419</v>
      </c>
      <c r="Y5" s="503"/>
    </row>
    <row r="6" spans="1:30" ht="18.75" customHeight="1" x14ac:dyDescent="0.25">
      <c r="A6" s="616" t="s">
        <v>442</v>
      </c>
    </row>
    <row r="7" spans="1:30" ht="20.25" customHeight="1" x14ac:dyDescent="0.25">
      <c r="A7" s="616" t="s">
        <v>443</v>
      </c>
    </row>
    <row r="8" spans="1:30" ht="28.5" customHeight="1" x14ac:dyDescent="0.25">
      <c r="A8" s="811" t="s">
        <v>26</v>
      </c>
      <c r="B8" s="504"/>
      <c r="C8" s="812" t="s">
        <v>421</v>
      </c>
      <c r="D8" s="811" t="s">
        <v>51</v>
      </c>
      <c r="E8" s="748" t="s">
        <v>448</v>
      </c>
      <c r="F8" s="749"/>
      <c r="G8" s="748" t="s">
        <v>447</v>
      </c>
      <c r="H8" s="749"/>
      <c r="I8" s="815" t="s">
        <v>449</v>
      </c>
      <c r="J8" s="816"/>
      <c r="K8" s="821" t="s">
        <v>0</v>
      </c>
      <c r="L8" s="822"/>
      <c r="M8" s="822"/>
      <c r="N8" s="822"/>
      <c r="O8" s="822"/>
      <c r="P8" s="822"/>
      <c r="Q8" s="822"/>
      <c r="R8" s="823"/>
      <c r="S8" s="748" t="s">
        <v>450</v>
      </c>
      <c r="T8" s="749"/>
      <c r="U8" s="748" t="s">
        <v>451</v>
      </c>
      <c r="V8" s="749"/>
      <c r="W8" s="748" t="s">
        <v>452</v>
      </c>
      <c r="X8" s="749"/>
      <c r="Y8" s="761" t="s">
        <v>453</v>
      </c>
      <c r="Z8" s="762"/>
      <c r="AA8" s="812" t="s">
        <v>44</v>
      </c>
    </row>
    <row r="9" spans="1:30" ht="28.5" customHeight="1" x14ac:dyDescent="0.25">
      <c r="A9" s="811"/>
      <c r="B9" s="505" t="s">
        <v>420</v>
      </c>
      <c r="C9" s="813"/>
      <c r="D9" s="811"/>
      <c r="E9" s="750"/>
      <c r="F9" s="751"/>
      <c r="G9" s="750"/>
      <c r="H9" s="751"/>
      <c r="I9" s="817"/>
      <c r="J9" s="818"/>
      <c r="K9" s="804" t="s">
        <v>1</v>
      </c>
      <c r="L9" s="805"/>
      <c r="M9" s="804" t="s">
        <v>2</v>
      </c>
      <c r="N9" s="805"/>
      <c r="O9" s="804" t="s">
        <v>3</v>
      </c>
      <c r="P9" s="805"/>
      <c r="Q9" s="804" t="s">
        <v>4</v>
      </c>
      <c r="R9" s="805"/>
      <c r="S9" s="750"/>
      <c r="T9" s="751"/>
      <c r="U9" s="750"/>
      <c r="V9" s="751"/>
      <c r="W9" s="750"/>
      <c r="X9" s="751"/>
      <c r="Y9" s="763"/>
      <c r="Z9" s="764"/>
      <c r="AA9" s="813"/>
    </row>
    <row r="10" spans="1:30" ht="28.5" customHeight="1" x14ac:dyDescent="0.25">
      <c r="A10" s="811"/>
      <c r="B10" s="506"/>
      <c r="C10" s="814"/>
      <c r="D10" s="811"/>
      <c r="E10" s="752"/>
      <c r="F10" s="753"/>
      <c r="G10" s="752"/>
      <c r="H10" s="753"/>
      <c r="I10" s="819"/>
      <c r="J10" s="820"/>
      <c r="K10" s="806"/>
      <c r="L10" s="807"/>
      <c r="M10" s="806"/>
      <c r="N10" s="807"/>
      <c r="O10" s="806"/>
      <c r="P10" s="807"/>
      <c r="Q10" s="806"/>
      <c r="R10" s="807"/>
      <c r="S10" s="752"/>
      <c r="T10" s="753"/>
      <c r="U10" s="752"/>
      <c r="V10" s="753"/>
      <c r="W10" s="752"/>
      <c r="X10" s="753"/>
      <c r="Y10" s="765"/>
      <c r="Z10" s="766"/>
      <c r="AA10" s="814"/>
    </row>
    <row r="11" spans="1:30" s="462" customFormat="1" ht="15" customHeight="1" x14ac:dyDescent="0.25">
      <c r="A11" s="802">
        <v>1</v>
      </c>
      <c r="B11" s="802">
        <v>2</v>
      </c>
      <c r="C11" s="796">
        <v>3</v>
      </c>
      <c r="D11" s="796">
        <v>4</v>
      </c>
      <c r="E11" s="767">
        <v>5</v>
      </c>
      <c r="F11" s="768"/>
      <c r="G11" s="769">
        <v>6</v>
      </c>
      <c r="H11" s="770"/>
      <c r="I11" s="808">
        <v>7</v>
      </c>
      <c r="J11" s="809"/>
      <c r="K11" s="769">
        <v>8</v>
      </c>
      <c r="L11" s="770"/>
      <c r="M11" s="769">
        <v>9</v>
      </c>
      <c r="N11" s="770"/>
      <c r="O11" s="769">
        <v>10</v>
      </c>
      <c r="P11" s="770"/>
      <c r="Q11" s="769">
        <v>11</v>
      </c>
      <c r="R11" s="770"/>
      <c r="S11" s="769" t="s">
        <v>39</v>
      </c>
      <c r="T11" s="770"/>
      <c r="U11" s="769" t="s">
        <v>436</v>
      </c>
      <c r="V11" s="770"/>
      <c r="W11" s="769" t="s">
        <v>41</v>
      </c>
      <c r="X11" s="770"/>
      <c r="Y11" s="767" t="s">
        <v>437</v>
      </c>
      <c r="Z11" s="768"/>
      <c r="AA11" s="796">
        <v>16</v>
      </c>
    </row>
    <row r="12" spans="1:30" s="500" customFormat="1" x14ac:dyDescent="0.25">
      <c r="A12" s="803"/>
      <c r="B12" s="803"/>
      <c r="C12" s="797"/>
      <c r="D12" s="797"/>
      <c r="E12" s="463" t="s">
        <v>5</v>
      </c>
      <c r="F12" s="464" t="s">
        <v>6</v>
      </c>
      <c r="G12" s="180" t="s">
        <v>5</v>
      </c>
      <c r="H12" s="180" t="s">
        <v>6</v>
      </c>
      <c r="I12" s="399" t="s">
        <v>27</v>
      </c>
      <c r="J12" s="181" t="s">
        <v>9</v>
      </c>
      <c r="K12" s="180" t="s">
        <v>5</v>
      </c>
      <c r="L12" s="482" t="s">
        <v>6</v>
      </c>
      <c r="M12" s="180" t="s">
        <v>5</v>
      </c>
      <c r="N12" s="465" t="s">
        <v>6</v>
      </c>
      <c r="O12" s="180" t="s">
        <v>5</v>
      </c>
      <c r="P12" s="180" t="s">
        <v>6</v>
      </c>
      <c r="Q12" s="180" t="s">
        <v>5</v>
      </c>
      <c r="R12" s="465" t="s">
        <v>6</v>
      </c>
      <c r="S12" s="180" t="s">
        <v>5</v>
      </c>
      <c r="T12" s="180" t="s">
        <v>6</v>
      </c>
      <c r="U12" s="180" t="s">
        <v>5</v>
      </c>
      <c r="V12" s="180" t="s">
        <v>6</v>
      </c>
      <c r="W12" s="180" t="s">
        <v>5</v>
      </c>
      <c r="X12" s="180" t="s">
        <v>6</v>
      </c>
      <c r="Y12" s="661" t="s">
        <v>5</v>
      </c>
      <c r="Z12" s="674" t="s">
        <v>6</v>
      </c>
      <c r="AA12" s="797"/>
    </row>
    <row r="13" spans="1:30" s="214" customFormat="1" ht="15" customHeight="1" x14ac:dyDescent="0.25">
      <c r="A13" s="598"/>
      <c r="B13" s="512"/>
      <c r="C13" s="513"/>
      <c r="D13" s="514"/>
      <c r="E13" s="515"/>
      <c r="F13" s="516"/>
      <c r="G13" s="519"/>
      <c r="H13" s="524"/>
      <c r="I13" s="511"/>
      <c r="J13" s="518"/>
      <c r="K13" s="523"/>
      <c r="L13" s="520"/>
      <c r="M13" s="519"/>
      <c r="N13" s="664"/>
      <c r="O13" s="519"/>
      <c r="P13" s="521"/>
      <c r="Q13" s="522"/>
      <c r="R13" s="521"/>
      <c r="S13" s="519"/>
      <c r="T13" s="524"/>
      <c r="U13" s="495"/>
      <c r="V13" s="524"/>
      <c r="W13" s="495"/>
      <c r="X13" s="523"/>
      <c r="Y13" s="523"/>
      <c r="Z13" s="519"/>
      <c r="AA13" s="525"/>
    </row>
    <row r="14" spans="1:30" s="510" customFormat="1" x14ac:dyDescent="0.25">
      <c r="A14" s="599"/>
      <c r="B14" s="526"/>
      <c r="C14" s="527"/>
      <c r="D14" s="528"/>
      <c r="E14" s="517"/>
      <c r="F14" s="529">
        <f>SUM(F15,F25,F32,F36,F51,F55,F65,F69)</f>
        <v>19891371540</v>
      </c>
      <c r="G14" s="535"/>
      <c r="H14" s="535">
        <f>SUM(H15,H25,H32,H36,H51,H55,H65,H69)</f>
        <v>21755591424</v>
      </c>
      <c r="I14" s="530"/>
      <c r="J14" s="529">
        <f>SUM(J15,J25,J32,J36,J51,J55,J65,J69)</f>
        <v>16203687590</v>
      </c>
      <c r="K14" s="649"/>
      <c r="L14" s="529">
        <f>SUM(L15,L25,L32,L36,L51,L55,L65,L69)</f>
        <v>292607428</v>
      </c>
      <c r="M14" s="517"/>
      <c r="N14" s="529">
        <f>SUM(N15,N25,N32,N36,N51,N55,N65,N69)</f>
        <v>939958453</v>
      </c>
      <c r="O14" s="517"/>
      <c r="P14" s="529"/>
      <c r="Q14" s="531"/>
      <c r="R14" s="532"/>
      <c r="S14" s="517"/>
      <c r="T14" s="529">
        <f>SUM(T15,T25,T32,T36,T51,T55,T65,T69)</f>
        <v>1232565881</v>
      </c>
      <c r="U14" s="533"/>
      <c r="V14" s="534"/>
      <c r="W14" s="539"/>
      <c r="X14" s="535">
        <f>SUM(X15,X25,X32,X36,X51,X55)</f>
        <v>18415060438</v>
      </c>
      <c r="Y14" s="591"/>
      <c r="Z14" s="538"/>
      <c r="AA14" s="530"/>
    </row>
    <row r="15" spans="1:30" s="214" customFormat="1" ht="27" customHeight="1" x14ac:dyDescent="0.25">
      <c r="A15" s="587" t="s">
        <v>52</v>
      </c>
      <c r="B15" s="824" t="s">
        <v>422</v>
      </c>
      <c r="C15" s="617" t="s">
        <v>8</v>
      </c>
      <c r="D15" s="618"/>
      <c r="E15" s="519"/>
      <c r="F15" s="535">
        <f>SUM(F16:F22)</f>
        <v>1840500000</v>
      </c>
      <c r="G15" s="535"/>
      <c r="H15" s="535">
        <v>1800581398</v>
      </c>
      <c r="I15" s="530"/>
      <c r="J15" s="529">
        <f>SUM(J16:J22)</f>
        <v>391054110</v>
      </c>
      <c r="K15" s="591"/>
      <c r="L15" s="537">
        <f>SUM(L16:L22)</f>
        <v>57265228</v>
      </c>
      <c r="M15" s="519"/>
      <c r="N15" s="537">
        <f>SUM(N16:N22)</f>
        <v>105016297</v>
      </c>
      <c r="O15" s="519"/>
      <c r="P15" s="535"/>
      <c r="Q15" s="490"/>
      <c r="R15" s="535"/>
      <c r="S15" s="519"/>
      <c r="T15" s="537">
        <f>SUM(T16:T22)</f>
        <v>162281525</v>
      </c>
      <c r="U15" s="538"/>
      <c r="V15" s="83">
        <f t="shared" ref="V15:V22" si="0">T15/J15*100</f>
        <v>41.498483419596333</v>
      </c>
      <c r="W15" s="539"/>
      <c r="X15" s="535">
        <f>SUM(X16:X22)</f>
        <v>1962862923</v>
      </c>
      <c r="Y15" s="523"/>
      <c r="Z15" s="83">
        <f>X15/F15*100</f>
        <v>106.64835224123878</v>
      </c>
      <c r="AA15" s="525"/>
      <c r="AC15" s="466" t="s">
        <v>170</v>
      </c>
      <c r="AD15" s="466" t="s">
        <v>171</v>
      </c>
    </row>
    <row r="16" spans="1:30" s="214" customFormat="1" ht="15" customHeight="1" x14ac:dyDescent="0.25">
      <c r="A16" s="598"/>
      <c r="B16" s="824"/>
      <c r="C16" s="619" t="s">
        <v>7</v>
      </c>
      <c r="D16" s="620" t="s">
        <v>86</v>
      </c>
      <c r="E16" s="541" t="s">
        <v>303</v>
      </c>
      <c r="F16" s="542">
        <v>181000000</v>
      </c>
      <c r="G16" s="545" t="s">
        <v>458</v>
      </c>
      <c r="H16" s="546">
        <v>145506225</v>
      </c>
      <c r="I16" s="530" t="s">
        <v>474</v>
      </c>
      <c r="J16" s="648">
        <v>34538840</v>
      </c>
      <c r="K16" s="536" t="s">
        <v>307</v>
      </c>
      <c r="L16" s="544">
        <f>'[1]Apr-19(I)'!$Y$21</f>
        <v>3842470</v>
      </c>
      <c r="M16" s="536" t="s">
        <v>504</v>
      </c>
      <c r="N16" s="544">
        <f>16615445-L16</f>
        <v>12772975</v>
      </c>
      <c r="O16" s="536"/>
      <c r="P16" s="544"/>
      <c r="Q16" s="522"/>
      <c r="R16" s="544"/>
      <c r="S16" s="536" t="s">
        <v>506</v>
      </c>
      <c r="T16" s="535">
        <f>SUM(R16,P16,N16,L16)</f>
        <v>16615445</v>
      </c>
      <c r="U16" s="545">
        <f>700/1500*100</f>
        <v>46.666666666666664</v>
      </c>
      <c r="V16" s="540">
        <f>T16/J16*100</f>
        <v>48.106551928206045</v>
      </c>
      <c r="W16" s="669" t="s">
        <v>517</v>
      </c>
      <c r="X16" s="546">
        <f>H16+T16</f>
        <v>162121670</v>
      </c>
      <c r="Y16" s="671">
        <f>4399/6000</f>
        <v>0.73316666666666663</v>
      </c>
      <c r="Z16" s="547">
        <f>SUM(X16/F16)*100</f>
        <v>89.569983425414364</v>
      </c>
      <c r="AA16" s="525" t="s">
        <v>31</v>
      </c>
      <c r="AC16" s="467" t="e">
        <f>SUM(J16-#REF!)</f>
        <v>#REF!</v>
      </c>
      <c r="AD16" s="467" t="e">
        <f>SUM(#REF!-L16)</f>
        <v>#REF!</v>
      </c>
    </row>
    <row r="17" spans="1:31" s="214" customFormat="1" ht="40.5" customHeight="1" x14ac:dyDescent="0.25">
      <c r="A17" s="536"/>
      <c r="B17" s="824"/>
      <c r="C17" s="619" t="s">
        <v>13</v>
      </c>
      <c r="D17" s="620" t="s">
        <v>85</v>
      </c>
      <c r="E17" s="489" t="s">
        <v>304</v>
      </c>
      <c r="F17" s="542">
        <v>550000000</v>
      </c>
      <c r="G17" s="548" t="s">
        <v>459</v>
      </c>
      <c r="H17" s="546">
        <v>499681520</v>
      </c>
      <c r="I17" s="530" t="s">
        <v>28</v>
      </c>
      <c r="J17" s="648">
        <v>135000000</v>
      </c>
      <c r="K17" s="536" t="s">
        <v>308</v>
      </c>
      <c r="L17" s="544">
        <f>'[1]Apr-19(I)'!$Y$22</f>
        <v>19669114</v>
      </c>
      <c r="M17" s="536" t="s">
        <v>308</v>
      </c>
      <c r="N17" s="544">
        <f>48888251-L17</f>
        <v>29219137</v>
      </c>
      <c r="O17" s="536"/>
      <c r="P17" s="544"/>
      <c r="Q17" s="522"/>
      <c r="R17" s="544"/>
      <c r="S17" s="536" t="s">
        <v>507</v>
      </c>
      <c r="T17" s="535">
        <f t="shared" ref="T17:T22" si="1">SUM(R17,P17,N17,L17)</f>
        <v>48888251</v>
      </c>
      <c r="U17" s="545">
        <f>6/12*100</f>
        <v>50</v>
      </c>
      <c r="V17" s="540">
        <f t="shared" si="0"/>
        <v>36.213519259259257</v>
      </c>
      <c r="W17" s="670" t="s">
        <v>518</v>
      </c>
      <c r="X17" s="546">
        <f>H17+T17</f>
        <v>548569771</v>
      </c>
      <c r="Y17" s="672">
        <f>42/60</f>
        <v>0.7</v>
      </c>
      <c r="Z17" s="547">
        <f t="shared" ref="Z17:Z22" si="2">SUM(X17/F17)*100</f>
        <v>99.739958363636362</v>
      </c>
      <c r="AA17" s="525" t="str">
        <f t="shared" ref="AA17:AA22" si="3">AA16</f>
        <v>Diskominfo</v>
      </c>
      <c r="AC17" s="467">
        <f t="shared" ref="AC17:AC22" si="4">SUM(J17-T17)</f>
        <v>86111749</v>
      </c>
      <c r="AD17" s="467" t="e">
        <f>SUM(#REF!-L17)</f>
        <v>#REF!</v>
      </c>
    </row>
    <row r="18" spans="1:31" s="214" customFormat="1" ht="25.5" x14ac:dyDescent="0.25">
      <c r="A18" s="536"/>
      <c r="B18" s="824"/>
      <c r="C18" s="619" t="s">
        <v>14</v>
      </c>
      <c r="D18" s="620" t="s">
        <v>32</v>
      </c>
      <c r="E18" s="541" t="s">
        <v>305</v>
      </c>
      <c r="F18" s="542">
        <v>276000000</v>
      </c>
      <c r="G18" s="548" t="s">
        <v>460</v>
      </c>
      <c r="H18" s="546">
        <v>255521025</v>
      </c>
      <c r="I18" s="530" t="s">
        <v>28</v>
      </c>
      <c r="J18" s="648">
        <v>65815270</v>
      </c>
      <c r="K18" s="536" t="s">
        <v>308</v>
      </c>
      <c r="L18" s="544">
        <f>'[1]Apr-19(I)'!$Y$23</f>
        <v>8308500</v>
      </c>
      <c r="M18" s="536" t="s">
        <v>308</v>
      </c>
      <c r="N18" s="544">
        <f>20314470-L18</f>
        <v>12005970</v>
      </c>
      <c r="O18" s="536"/>
      <c r="P18" s="544"/>
      <c r="Q18" s="522"/>
      <c r="R18" s="544"/>
      <c r="S18" s="536" t="s">
        <v>507</v>
      </c>
      <c r="T18" s="535">
        <f t="shared" si="1"/>
        <v>20314470</v>
      </c>
      <c r="U18" s="545">
        <f>6/12*100</f>
        <v>50</v>
      </c>
      <c r="V18" s="540">
        <f t="shared" si="0"/>
        <v>30.865891760377188</v>
      </c>
      <c r="W18" s="670" t="s">
        <v>519</v>
      </c>
      <c r="X18" s="546">
        <f t="shared" ref="X18:X22" si="5">H18+T18</f>
        <v>275835495</v>
      </c>
      <c r="Y18" s="672">
        <f>42/60</f>
        <v>0.7</v>
      </c>
      <c r="Z18" s="547">
        <f t="shared" si="2"/>
        <v>99.940396739130435</v>
      </c>
      <c r="AA18" s="525" t="str">
        <f t="shared" si="3"/>
        <v>Diskominfo</v>
      </c>
      <c r="AC18" s="467">
        <f t="shared" si="4"/>
        <v>45500800</v>
      </c>
      <c r="AD18" s="467" t="e">
        <f>SUM(#REF!-L18)</f>
        <v>#REF!</v>
      </c>
    </row>
    <row r="19" spans="1:31" s="214" customFormat="1" ht="25.5" x14ac:dyDescent="0.25">
      <c r="A19" s="536"/>
      <c r="B19" s="824"/>
      <c r="C19" s="619" t="s">
        <v>15</v>
      </c>
      <c r="D19" s="620" t="s">
        <v>84</v>
      </c>
      <c r="E19" s="541" t="s">
        <v>29</v>
      </c>
      <c r="F19" s="542">
        <v>33500000</v>
      </c>
      <c r="G19" s="545" t="s">
        <v>29</v>
      </c>
      <c r="H19" s="546">
        <v>30069800</v>
      </c>
      <c r="I19" s="530" t="s">
        <v>29</v>
      </c>
      <c r="J19" s="648">
        <v>8000000</v>
      </c>
      <c r="K19" s="657" t="s">
        <v>29</v>
      </c>
      <c r="L19" s="544">
        <f>'[1]Apr-19(I)'!$Y$24</f>
        <v>1777800</v>
      </c>
      <c r="M19" s="657" t="s">
        <v>29</v>
      </c>
      <c r="N19" s="544">
        <f>3612000-L19</f>
        <v>1834200</v>
      </c>
      <c r="O19" s="536"/>
      <c r="P19" s="544"/>
      <c r="Q19" s="522"/>
      <c r="R19" s="544"/>
      <c r="S19" s="657" t="s">
        <v>29</v>
      </c>
      <c r="T19" s="535">
        <f t="shared" si="1"/>
        <v>3612000</v>
      </c>
      <c r="U19" s="545">
        <f>4/4*100</f>
        <v>100</v>
      </c>
      <c r="V19" s="540">
        <f t="shared" si="0"/>
        <v>45.15</v>
      </c>
      <c r="W19" s="669" t="s">
        <v>29</v>
      </c>
      <c r="X19" s="546">
        <f t="shared" si="5"/>
        <v>33681800</v>
      </c>
      <c r="Y19" s="672">
        <v>1</v>
      </c>
      <c r="Z19" s="547">
        <f t="shared" si="2"/>
        <v>100.54268656716418</v>
      </c>
      <c r="AA19" s="525" t="str">
        <f t="shared" si="3"/>
        <v>Diskominfo</v>
      </c>
      <c r="AC19" s="467">
        <f t="shared" si="4"/>
        <v>4388000</v>
      </c>
      <c r="AD19" s="467" t="e">
        <f>SUM(#REF!-L19)</f>
        <v>#REF!</v>
      </c>
    </row>
    <row r="20" spans="1:31" s="214" customFormat="1" ht="25.5" customHeight="1" x14ac:dyDescent="0.25">
      <c r="A20" s="536"/>
      <c r="B20" s="824"/>
      <c r="C20" s="619" t="s">
        <v>16</v>
      </c>
      <c r="D20" s="620" t="s">
        <v>83</v>
      </c>
      <c r="E20" s="541" t="s">
        <v>29</v>
      </c>
      <c r="F20" s="542">
        <v>33500000</v>
      </c>
      <c r="G20" s="545" t="s">
        <v>29</v>
      </c>
      <c r="H20" s="546">
        <v>22353500</v>
      </c>
      <c r="I20" s="530" t="s">
        <v>29</v>
      </c>
      <c r="J20" s="648">
        <v>8000000</v>
      </c>
      <c r="K20" s="657" t="s">
        <v>29</v>
      </c>
      <c r="L20" s="544">
        <f>'[1]Apr-19(I)'!$Y$25</f>
        <v>0</v>
      </c>
      <c r="M20" s="657" t="s">
        <v>29</v>
      </c>
      <c r="N20" s="544">
        <f>'[1]Apr-19(I)'!$Y$25</f>
        <v>0</v>
      </c>
      <c r="O20" s="536"/>
      <c r="P20" s="544"/>
      <c r="Q20" s="522"/>
      <c r="R20" s="544"/>
      <c r="S20" s="657" t="s">
        <v>29</v>
      </c>
      <c r="T20" s="535">
        <f t="shared" si="1"/>
        <v>0</v>
      </c>
      <c r="U20" s="545">
        <f>4/4*100</f>
        <v>100</v>
      </c>
      <c r="V20" s="540">
        <f t="shared" si="0"/>
        <v>0</v>
      </c>
      <c r="W20" s="669" t="s">
        <v>29</v>
      </c>
      <c r="X20" s="546">
        <f t="shared" si="5"/>
        <v>22353500</v>
      </c>
      <c r="Y20" s="672">
        <v>1</v>
      </c>
      <c r="Z20" s="547">
        <f t="shared" si="2"/>
        <v>66.726865671641789</v>
      </c>
      <c r="AA20" s="525" t="str">
        <f t="shared" si="3"/>
        <v>Diskominfo</v>
      </c>
      <c r="AC20" s="467">
        <f t="shared" si="4"/>
        <v>8000000</v>
      </c>
      <c r="AD20" s="467" t="e">
        <f>SUM(#REF!-L20)</f>
        <v>#REF!</v>
      </c>
    </row>
    <row r="21" spans="1:31" s="214" customFormat="1" ht="25.5" customHeight="1" x14ac:dyDescent="0.25">
      <c r="A21" s="536"/>
      <c r="B21" s="824"/>
      <c r="C21" s="619" t="s">
        <v>17</v>
      </c>
      <c r="D21" s="620" t="s">
        <v>82</v>
      </c>
      <c r="E21" s="541" t="s">
        <v>137</v>
      </c>
      <c r="F21" s="542">
        <v>589500000</v>
      </c>
      <c r="G21" s="545" t="s">
        <v>461</v>
      </c>
      <c r="H21" s="546">
        <v>581069828</v>
      </c>
      <c r="I21" s="530" t="s">
        <v>424</v>
      </c>
      <c r="J21" s="648">
        <v>74700000</v>
      </c>
      <c r="K21" s="549" t="s">
        <v>434</v>
      </c>
      <c r="L21" s="544">
        <f>'[1]Apr-19(I)'!$Y$26</f>
        <v>15237344</v>
      </c>
      <c r="M21" s="549" t="s">
        <v>434</v>
      </c>
      <c r="N21" s="544">
        <f>34419844-L21</f>
        <v>19182500</v>
      </c>
      <c r="O21" s="549"/>
      <c r="P21" s="544"/>
      <c r="Q21" s="550"/>
      <c r="R21" s="544"/>
      <c r="S21" s="549" t="s">
        <v>508</v>
      </c>
      <c r="T21" s="535">
        <f t="shared" si="1"/>
        <v>34419844</v>
      </c>
      <c r="U21" s="545">
        <f>30/46*100</f>
        <v>65.217391304347828</v>
      </c>
      <c r="V21" s="540">
        <f t="shared" si="0"/>
        <v>46.077435073627839</v>
      </c>
      <c r="W21" s="669" t="s">
        <v>520</v>
      </c>
      <c r="X21" s="546">
        <f t="shared" si="5"/>
        <v>615489672</v>
      </c>
      <c r="Y21" s="672">
        <f>185/27</f>
        <v>6.8518518518518521</v>
      </c>
      <c r="Z21" s="547">
        <f t="shared" si="2"/>
        <v>104.40876539440202</v>
      </c>
      <c r="AA21" s="525" t="str">
        <f t="shared" si="3"/>
        <v>Diskominfo</v>
      </c>
      <c r="AC21" s="467">
        <f t="shared" si="4"/>
        <v>40280156</v>
      </c>
      <c r="AD21" s="467" t="e">
        <f>SUM(#REF!-L21)</f>
        <v>#REF!</v>
      </c>
    </row>
    <row r="22" spans="1:31" s="214" customFormat="1" ht="27" customHeight="1" x14ac:dyDescent="0.25">
      <c r="A22" s="536"/>
      <c r="B22" s="824"/>
      <c r="C22" s="619" t="s">
        <v>18</v>
      </c>
      <c r="D22" s="620" t="s">
        <v>81</v>
      </c>
      <c r="E22" s="541" t="s">
        <v>138</v>
      </c>
      <c r="F22" s="542">
        <v>177000000</v>
      </c>
      <c r="G22" s="545" t="s">
        <v>462</v>
      </c>
      <c r="H22" s="546">
        <v>266379500</v>
      </c>
      <c r="I22" s="530" t="s">
        <v>425</v>
      </c>
      <c r="J22" s="648">
        <v>65000000</v>
      </c>
      <c r="K22" s="551" t="s">
        <v>495</v>
      </c>
      <c r="L22" s="544">
        <f>'[1]Apr-19(I)'!$Y$27</f>
        <v>8430000</v>
      </c>
      <c r="M22" s="551" t="s">
        <v>495</v>
      </c>
      <c r="N22" s="544">
        <f>38431515-L22</f>
        <v>30001515</v>
      </c>
      <c r="O22" s="551"/>
      <c r="P22" s="544"/>
      <c r="Q22" s="552"/>
      <c r="R22" s="544"/>
      <c r="S22" s="551" t="s">
        <v>509</v>
      </c>
      <c r="T22" s="535">
        <f t="shared" si="1"/>
        <v>38431515</v>
      </c>
      <c r="U22" s="545">
        <f>180/348*100</f>
        <v>51.724137931034484</v>
      </c>
      <c r="V22" s="540">
        <f t="shared" si="0"/>
        <v>59.125407692307697</v>
      </c>
      <c r="W22" s="669" t="s">
        <v>521</v>
      </c>
      <c r="X22" s="546">
        <f t="shared" si="5"/>
        <v>304811015</v>
      </c>
      <c r="Y22" s="672">
        <f>1568/360</f>
        <v>4.3555555555555552</v>
      </c>
      <c r="Z22" s="547">
        <f t="shared" si="2"/>
        <v>172.20961299435029</v>
      </c>
      <c r="AA22" s="525" t="str">
        <f t="shared" si="3"/>
        <v>Diskominfo</v>
      </c>
      <c r="AC22" s="467">
        <f t="shared" si="4"/>
        <v>26568485</v>
      </c>
      <c r="AD22" s="467" t="e">
        <f>SUM(#REF!-L22)</f>
        <v>#REF!</v>
      </c>
    </row>
    <row r="23" spans="1:31" s="214" customFormat="1" ht="15.75" customHeight="1" x14ac:dyDescent="0.25">
      <c r="A23" s="792" t="s">
        <v>134</v>
      </c>
      <c r="B23" s="792"/>
      <c r="C23" s="792"/>
      <c r="D23" s="792"/>
      <c r="E23" s="792"/>
      <c r="F23" s="792"/>
      <c r="G23" s="792"/>
      <c r="H23" s="792"/>
      <c r="I23" s="792"/>
      <c r="J23" s="792"/>
      <c r="K23" s="792"/>
      <c r="L23" s="792"/>
      <c r="M23" s="792"/>
      <c r="N23" s="792"/>
      <c r="O23" s="792"/>
      <c r="P23" s="792"/>
      <c r="Q23" s="792"/>
      <c r="R23" s="792"/>
      <c r="S23" s="792"/>
      <c r="T23" s="792"/>
      <c r="U23" s="495"/>
      <c r="V23" s="83">
        <f>AVERAGE(V16:V22)</f>
        <v>37.934115101968288</v>
      </c>
      <c r="W23" s="495"/>
      <c r="X23" s="655"/>
      <c r="Y23" s="494"/>
      <c r="Z23" s="83">
        <f>AVERAGE(Z16:Z22)</f>
        <v>104.73403845081994</v>
      </c>
      <c r="AA23" s="469"/>
      <c r="AB23" s="470"/>
    </row>
    <row r="24" spans="1:31" s="214" customFormat="1" ht="27" customHeight="1" x14ac:dyDescent="0.25">
      <c r="A24" s="792" t="s">
        <v>135</v>
      </c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92"/>
      <c r="N24" s="792"/>
      <c r="O24" s="792"/>
      <c r="P24" s="792"/>
      <c r="Q24" s="792"/>
      <c r="R24" s="792"/>
      <c r="S24" s="792"/>
      <c r="T24" s="792"/>
      <c r="U24" s="495"/>
      <c r="V24" s="157" t="str">
        <f>IF(V23&lt;=50,"Sangat Rendah",IF(V23&lt;=65,"Rendah",IF(V23&lt;=75,"Sedang",IF(V23&lt;=90,"Tinggi",IF(V23&lt;=100,"Sangat Tinggi","Salah")))))</f>
        <v>Sangat Rendah</v>
      </c>
      <c r="W24" s="495"/>
      <c r="X24" s="655"/>
      <c r="Y24" s="494"/>
      <c r="Z24" s="87" t="str">
        <f>IF(Z23&lt;=50,"Sangat Rendah",IF(Z23&lt;=65,"Rendah",IF(Z23&lt;=75,"Sedang",IF(Z23&lt;=90,"Tinggi",IF(Z23&lt;=100,"Sangat Tinggi","Salah")))))</f>
        <v>Salah</v>
      </c>
      <c r="AA24" s="469"/>
      <c r="AE24" s="471"/>
    </row>
    <row r="25" spans="1:31" s="214" customFormat="1" ht="25.5" x14ac:dyDescent="0.25">
      <c r="A25" s="662" t="s">
        <v>62</v>
      </c>
      <c r="B25" s="801"/>
      <c r="C25" s="621" t="s">
        <v>19</v>
      </c>
      <c r="D25" s="621"/>
      <c r="E25" s="515"/>
      <c r="F25" s="553">
        <f>SUM(F26:F29)</f>
        <v>2158340000</v>
      </c>
      <c r="G25" s="553"/>
      <c r="H25" s="553">
        <v>6269656270</v>
      </c>
      <c r="I25" s="511"/>
      <c r="J25" s="554">
        <f>SUM(J26:J29)</f>
        <v>5980533810</v>
      </c>
      <c r="K25" s="536"/>
      <c r="L25" s="520">
        <f>SUM(L26:L29)</f>
        <v>42310366</v>
      </c>
      <c r="M25" s="519"/>
      <c r="N25" s="520">
        <f>SUM(N26:N29)</f>
        <v>42312456</v>
      </c>
      <c r="O25" s="519"/>
      <c r="P25" s="520"/>
      <c r="Q25" s="522"/>
      <c r="R25" s="520"/>
      <c r="S25" s="519"/>
      <c r="T25" s="520">
        <f>SUM(T26:T29)</f>
        <v>84622822</v>
      </c>
      <c r="U25" s="495"/>
      <c r="V25" s="83">
        <f>T25/J25*100</f>
        <v>1.4149710492147523</v>
      </c>
      <c r="W25" s="555"/>
      <c r="X25" s="524">
        <f>SUM(X26:X29)</f>
        <v>6354279092</v>
      </c>
      <c r="Y25" s="523"/>
      <c r="Z25" s="83">
        <f>X25/F25*100</f>
        <v>294.40584393561721</v>
      </c>
      <c r="AA25" s="525"/>
      <c r="AE25" s="471"/>
    </row>
    <row r="26" spans="1:31" s="214" customFormat="1" ht="25.5" customHeight="1" x14ac:dyDescent="0.25">
      <c r="A26" s="536"/>
      <c r="B26" s="801"/>
      <c r="C26" s="619" t="s">
        <v>412</v>
      </c>
      <c r="D26" s="620" t="s">
        <v>80</v>
      </c>
      <c r="E26" s="556" t="s">
        <v>88</v>
      </c>
      <c r="F26" s="557">
        <v>622000000</v>
      </c>
      <c r="G26" s="545" t="s">
        <v>463</v>
      </c>
      <c r="H26" s="546">
        <v>4866794873</v>
      </c>
      <c r="I26" s="559" t="s">
        <v>476</v>
      </c>
      <c r="J26" s="543">
        <v>5692450000</v>
      </c>
      <c r="K26" s="536">
        <v>0</v>
      </c>
      <c r="L26" s="544">
        <f>'[1]Apr-19(I)'!$Y$30</f>
        <v>0</v>
      </c>
      <c r="M26" s="536">
        <v>0</v>
      </c>
      <c r="N26" s="544">
        <f>'[1]Apr-19(I)'!$Y$30</f>
        <v>0</v>
      </c>
      <c r="O26" s="519"/>
      <c r="P26" s="544"/>
      <c r="Q26" s="522"/>
      <c r="R26" s="544"/>
      <c r="S26" s="536">
        <v>0</v>
      </c>
      <c r="T26" s="542">
        <f>SUM(L26,N26,P26,R26)</f>
        <v>0</v>
      </c>
      <c r="U26" s="560">
        <v>0</v>
      </c>
      <c r="V26" s="540">
        <f>T26/J26*100</f>
        <v>0</v>
      </c>
      <c r="W26" s="669" t="s">
        <v>463</v>
      </c>
      <c r="X26" s="546">
        <f>H26+T26</f>
        <v>4866794873</v>
      </c>
      <c r="Y26" s="672">
        <f>35/9</f>
        <v>3.8888888888888888</v>
      </c>
      <c r="Z26" s="547">
        <f>SUM(X26/F26)*100</f>
        <v>782.44290562700962</v>
      </c>
      <c r="AA26" s="525" t="str">
        <f>AA22</f>
        <v>Diskominfo</v>
      </c>
      <c r="AC26" s="467"/>
      <c r="AD26" s="467"/>
    </row>
    <row r="27" spans="1:31" s="214" customFormat="1" ht="25.5" customHeight="1" x14ac:dyDescent="0.25">
      <c r="A27" s="536"/>
      <c r="B27" s="801"/>
      <c r="C27" s="619" t="s">
        <v>63</v>
      </c>
      <c r="D27" s="620" t="s">
        <v>79</v>
      </c>
      <c r="E27" s="556" t="s">
        <v>89</v>
      </c>
      <c r="F27" s="557">
        <v>300000000</v>
      </c>
      <c r="G27" s="545" t="s">
        <v>416</v>
      </c>
      <c r="H27" s="546">
        <v>392048800</v>
      </c>
      <c r="I27" s="559" t="s">
        <v>29</v>
      </c>
      <c r="J27" s="543">
        <v>35027000</v>
      </c>
      <c r="K27" s="657" t="s">
        <v>29</v>
      </c>
      <c r="L27" s="544">
        <f>'[1]Apr-19(I)'!$Y$31</f>
        <v>5647500</v>
      </c>
      <c r="M27" s="657" t="s">
        <v>29</v>
      </c>
      <c r="N27" s="544">
        <f>9475250-L27</f>
        <v>3827750</v>
      </c>
      <c r="O27" s="561"/>
      <c r="P27" s="544"/>
      <c r="Q27" s="562"/>
      <c r="R27" s="544"/>
      <c r="S27" s="657" t="s">
        <v>29</v>
      </c>
      <c r="T27" s="542">
        <f>SUM(L27,N27,P27,R27)</f>
        <v>9475250</v>
      </c>
      <c r="U27" s="545">
        <f>4/4*100</f>
        <v>100</v>
      </c>
      <c r="V27" s="540">
        <f>T27/J27*100</f>
        <v>27.051274730921861</v>
      </c>
      <c r="W27" s="669" t="s">
        <v>416</v>
      </c>
      <c r="X27" s="546">
        <f>H27+T27</f>
        <v>401524050</v>
      </c>
      <c r="Y27" s="672">
        <f>4/1</f>
        <v>4</v>
      </c>
      <c r="Z27" s="547">
        <f>SUM(X27/F27)*100</f>
        <v>133.84135000000001</v>
      </c>
      <c r="AA27" s="525" t="str">
        <f>AA26</f>
        <v>Diskominfo</v>
      </c>
      <c r="AC27" s="467">
        <f>SUM(J27-T27)</f>
        <v>25551750</v>
      </c>
      <c r="AD27" s="467" t="e">
        <f>SUM(#REF!-L27)</f>
        <v>#REF!</v>
      </c>
    </row>
    <row r="28" spans="1:31" s="214" customFormat="1" ht="47.25" customHeight="1" x14ac:dyDescent="0.25">
      <c r="A28" s="536"/>
      <c r="B28" s="801"/>
      <c r="C28" s="619" t="s">
        <v>20</v>
      </c>
      <c r="D28" s="620" t="s">
        <v>78</v>
      </c>
      <c r="E28" s="556" t="s">
        <v>306</v>
      </c>
      <c r="F28" s="563">
        <v>910320000</v>
      </c>
      <c r="G28" s="489" t="s">
        <v>464</v>
      </c>
      <c r="H28" s="546">
        <v>581038372</v>
      </c>
      <c r="I28" s="559" t="s">
        <v>477</v>
      </c>
      <c r="J28" s="543">
        <v>167164150</v>
      </c>
      <c r="K28" s="561" t="s">
        <v>496</v>
      </c>
      <c r="L28" s="544">
        <f>'[1]Apr-19(I)'!$Y$32</f>
        <v>21515866</v>
      </c>
      <c r="M28" s="561" t="s">
        <v>496</v>
      </c>
      <c r="N28" s="544">
        <f>44045572-L28</f>
        <v>22529706</v>
      </c>
      <c r="O28" s="561"/>
      <c r="P28" s="544"/>
      <c r="Q28" s="562"/>
      <c r="R28" s="544"/>
      <c r="S28" s="561" t="s">
        <v>496</v>
      </c>
      <c r="T28" s="542">
        <f>SUM(L28,N28,P28,R28)</f>
        <v>44045572</v>
      </c>
      <c r="U28" s="545">
        <f>16/16*100</f>
        <v>100</v>
      </c>
      <c r="V28" s="540">
        <f>T28/J28*100</f>
        <v>26.348694980353145</v>
      </c>
      <c r="W28" s="551" t="s">
        <v>464</v>
      </c>
      <c r="X28" s="546">
        <f>H28+T28</f>
        <v>625083944</v>
      </c>
      <c r="Y28" s="672">
        <f>15/13</f>
        <v>1.1538461538461537</v>
      </c>
      <c r="Z28" s="547">
        <f>SUM(X28/F28)*100</f>
        <v>68.666396871429825</v>
      </c>
      <c r="AA28" s="525" t="str">
        <f>AA27</f>
        <v>Diskominfo</v>
      </c>
      <c r="AC28" s="467">
        <f>SUM(J28-T28)</f>
        <v>123118578</v>
      </c>
      <c r="AD28" s="467" t="e">
        <f>SUM(#REF!-L28)</f>
        <v>#REF!</v>
      </c>
    </row>
    <row r="29" spans="1:31" s="214" customFormat="1" ht="42" customHeight="1" x14ac:dyDescent="0.25">
      <c r="A29" s="536"/>
      <c r="B29" s="801"/>
      <c r="C29" s="619" t="s">
        <v>64</v>
      </c>
      <c r="D29" s="620" t="s">
        <v>77</v>
      </c>
      <c r="E29" s="556" t="s">
        <v>90</v>
      </c>
      <c r="F29" s="563">
        <v>326020000</v>
      </c>
      <c r="G29" s="556" t="s">
        <v>465</v>
      </c>
      <c r="H29" s="546">
        <v>429774225</v>
      </c>
      <c r="I29" s="559" t="s">
        <v>475</v>
      </c>
      <c r="J29" s="543">
        <v>85892660</v>
      </c>
      <c r="K29" s="561" t="s">
        <v>401</v>
      </c>
      <c r="L29" s="544">
        <f>'[1]Apr-19(I)'!$Y$33</f>
        <v>15147000</v>
      </c>
      <c r="M29" s="561" t="s">
        <v>401</v>
      </c>
      <c r="N29" s="544">
        <f>31102000-L29</f>
        <v>15955000</v>
      </c>
      <c r="O29" s="561"/>
      <c r="P29" s="544"/>
      <c r="Q29" s="562"/>
      <c r="R29" s="544"/>
      <c r="S29" s="561" t="s">
        <v>510</v>
      </c>
      <c r="T29" s="542">
        <f>SUM(L29,N29,P29,R29)</f>
        <v>31102000</v>
      </c>
      <c r="U29" s="545">
        <f>6/11*100</f>
        <v>54.54545454545454</v>
      </c>
      <c r="V29" s="540">
        <f>T29/J29*100</f>
        <v>36.210311800798813</v>
      </c>
      <c r="W29" s="561" t="s">
        <v>522</v>
      </c>
      <c r="X29" s="546">
        <f>H29+T29</f>
        <v>460876225</v>
      </c>
      <c r="Y29" s="672">
        <f>38/9</f>
        <v>4.2222222222222223</v>
      </c>
      <c r="Z29" s="547">
        <f>SUM(X29/F29)*100</f>
        <v>141.36440249064475</v>
      </c>
      <c r="AA29" s="525" t="str">
        <f>AA28</f>
        <v>Diskominfo</v>
      </c>
      <c r="AC29" s="467">
        <f>SUM(J29-T29)</f>
        <v>54790660</v>
      </c>
      <c r="AD29" s="467" t="e">
        <f>SUM(#REF!-L29)</f>
        <v>#REF!</v>
      </c>
    </row>
    <row r="30" spans="1:31" s="214" customFormat="1" ht="15.75" customHeight="1" x14ac:dyDescent="0.25">
      <c r="A30" s="792" t="s">
        <v>134</v>
      </c>
      <c r="B30" s="792"/>
      <c r="C30" s="792"/>
      <c r="D30" s="792"/>
      <c r="E30" s="792"/>
      <c r="F30" s="792"/>
      <c r="G30" s="792"/>
      <c r="H30" s="792"/>
      <c r="I30" s="792"/>
      <c r="J30" s="792"/>
      <c r="K30" s="792"/>
      <c r="L30" s="792"/>
      <c r="M30" s="792"/>
      <c r="N30" s="792"/>
      <c r="O30" s="792"/>
      <c r="P30" s="792"/>
      <c r="Q30" s="792"/>
      <c r="R30" s="792"/>
      <c r="S30" s="792"/>
      <c r="T30" s="792"/>
      <c r="U30" s="495"/>
      <c r="V30" s="83">
        <f>AVERAGE(V26:V29)</f>
        <v>22.402570378018453</v>
      </c>
      <c r="W30" s="495"/>
      <c r="X30" s="468"/>
      <c r="Y30" s="494"/>
      <c r="Z30" s="83">
        <f>AVERAGE(Z26:Z29)</f>
        <v>281.57876374727107</v>
      </c>
      <c r="AA30" s="469"/>
    </row>
    <row r="31" spans="1:31" s="214" customFormat="1" ht="27" customHeight="1" x14ac:dyDescent="0.25">
      <c r="A31" s="792" t="s">
        <v>135</v>
      </c>
      <c r="B31" s="792"/>
      <c r="C31" s="792"/>
      <c r="D31" s="792"/>
      <c r="E31" s="792"/>
      <c r="F31" s="792"/>
      <c r="G31" s="792"/>
      <c r="H31" s="792"/>
      <c r="I31" s="792"/>
      <c r="J31" s="792"/>
      <c r="K31" s="792"/>
      <c r="L31" s="792"/>
      <c r="M31" s="792"/>
      <c r="N31" s="792"/>
      <c r="O31" s="792"/>
      <c r="P31" s="792"/>
      <c r="Q31" s="792"/>
      <c r="R31" s="792"/>
      <c r="S31" s="792"/>
      <c r="T31" s="792"/>
      <c r="U31" s="495"/>
      <c r="V31" s="87" t="str">
        <f>IF(V30&lt;=50,"Sangat Rendah",IF(V30&lt;=65,"Rendah",IF(V30&lt;=75,"Sedang",IF(V30&lt;=90,"Tinggi",IF(V30&lt;=100,"Sangat Tinggi","Salah")))))</f>
        <v>Sangat Rendah</v>
      </c>
      <c r="W31" s="495"/>
      <c r="X31" s="468"/>
      <c r="Y31" s="494"/>
      <c r="Z31" s="87" t="str">
        <f>IF(Z30&lt;=50,"Sangat Rendah",IF(Z30&lt;=65,"Rendah",IF(Z30&lt;=75,"Sedang",IF(Z30&lt;=90,"Tinggi",IF(Z30&lt;=100,"Sangat Tinggi","Salah")))))</f>
        <v>Salah</v>
      </c>
      <c r="AA31" s="469"/>
      <c r="AE31" s="471"/>
    </row>
    <row r="32" spans="1:31" s="214" customFormat="1" ht="54" customHeight="1" x14ac:dyDescent="0.25">
      <c r="A32" s="662" t="s">
        <v>71</v>
      </c>
      <c r="B32" s="801"/>
      <c r="C32" s="617" t="s">
        <v>21</v>
      </c>
      <c r="D32" s="621"/>
      <c r="E32" s="519"/>
      <c r="F32" s="564">
        <f>SUM(F33)</f>
        <v>75000000</v>
      </c>
      <c r="G32" s="564"/>
      <c r="H32" s="564">
        <v>84122330</v>
      </c>
      <c r="I32" s="565">
        <f>SUM(I33)</f>
        <v>0</v>
      </c>
      <c r="J32" s="565">
        <f>SUM(J33)</f>
        <v>21984860</v>
      </c>
      <c r="K32" s="519"/>
      <c r="L32" s="564">
        <f>SUM(L33)</f>
        <v>976965</v>
      </c>
      <c r="M32" s="519"/>
      <c r="N32" s="564">
        <f>SUM(N33)</f>
        <v>6256000</v>
      </c>
      <c r="O32" s="519"/>
      <c r="P32" s="566"/>
      <c r="Q32" s="522"/>
      <c r="R32" s="566"/>
      <c r="S32" s="519"/>
      <c r="T32" s="567">
        <f>SUM(T33)</f>
        <v>7232965</v>
      </c>
      <c r="U32" s="568"/>
      <c r="V32" s="172">
        <f>T32/J32*100</f>
        <v>32.899754649335947</v>
      </c>
      <c r="W32" s="569"/>
      <c r="X32" s="567">
        <f>SUM(X33)</f>
        <v>91355295</v>
      </c>
      <c r="Y32" s="523"/>
      <c r="Z32" s="172">
        <f>X32/F32*100</f>
        <v>121.80705999999999</v>
      </c>
      <c r="AA32" s="525"/>
    </row>
    <row r="33" spans="1:31" s="214" customFormat="1" ht="38.25" x14ac:dyDescent="0.25">
      <c r="A33" s="536"/>
      <c r="B33" s="801"/>
      <c r="C33" s="620" t="s">
        <v>22</v>
      </c>
      <c r="D33" s="619" t="s">
        <v>75</v>
      </c>
      <c r="E33" s="541" t="s">
        <v>139</v>
      </c>
      <c r="F33" s="544">
        <v>75000000</v>
      </c>
      <c r="G33" s="541" t="s">
        <v>466</v>
      </c>
      <c r="H33" s="542">
        <v>84122330</v>
      </c>
      <c r="I33" s="559" t="s">
        <v>276</v>
      </c>
      <c r="J33" s="543">
        <v>21984860</v>
      </c>
      <c r="K33" s="551" t="s">
        <v>494</v>
      </c>
      <c r="L33" s="544">
        <f>'[1]Apr-19(I)'!$Y$36</f>
        <v>976965</v>
      </c>
      <c r="M33" s="551" t="s">
        <v>512</v>
      </c>
      <c r="N33" s="544">
        <f>7232965-L33</f>
        <v>6256000</v>
      </c>
      <c r="O33" s="525"/>
      <c r="P33" s="544"/>
      <c r="Q33" s="552"/>
      <c r="R33" s="544"/>
      <c r="S33" s="551" t="s">
        <v>511</v>
      </c>
      <c r="T33" s="542">
        <f>SUM(R33,P33,N33,L33)</f>
        <v>7232965</v>
      </c>
      <c r="U33" s="545">
        <f>10/18*100</f>
        <v>55.555555555555557</v>
      </c>
      <c r="V33" s="540">
        <f>T33/J33*100</f>
        <v>32.899754649335947</v>
      </c>
      <c r="W33" s="669" t="s">
        <v>523</v>
      </c>
      <c r="X33" s="546">
        <f>H33+T33</f>
        <v>91355295</v>
      </c>
      <c r="Y33" s="672">
        <f>46/4</f>
        <v>11.5</v>
      </c>
      <c r="Z33" s="570">
        <f>SUM(X33/F33)*100</f>
        <v>121.80705999999999</v>
      </c>
      <c r="AA33" s="525" t="s">
        <v>31</v>
      </c>
      <c r="AC33" s="467">
        <f>SUM(J33-T33)</f>
        <v>14751895</v>
      </c>
      <c r="AD33" s="467" t="e">
        <f>SUM(#REF!-L33)</f>
        <v>#REF!</v>
      </c>
    </row>
    <row r="34" spans="1:31" s="214" customFormat="1" ht="15.75" customHeight="1" x14ac:dyDescent="0.25">
      <c r="A34" s="792" t="s">
        <v>134</v>
      </c>
      <c r="B34" s="792"/>
      <c r="C34" s="792"/>
      <c r="D34" s="792"/>
      <c r="E34" s="792"/>
      <c r="F34" s="792"/>
      <c r="G34" s="792"/>
      <c r="H34" s="792"/>
      <c r="I34" s="792"/>
      <c r="J34" s="792"/>
      <c r="K34" s="792"/>
      <c r="L34" s="792"/>
      <c r="M34" s="792"/>
      <c r="N34" s="792"/>
      <c r="O34" s="792"/>
      <c r="P34" s="792"/>
      <c r="Q34" s="792"/>
      <c r="R34" s="792"/>
      <c r="S34" s="792"/>
      <c r="T34" s="792"/>
      <c r="U34" s="495"/>
      <c r="V34" s="83">
        <f>AVERAGE(V33)</f>
        <v>32.899754649335947</v>
      </c>
      <c r="W34" s="495"/>
      <c r="X34" s="655"/>
      <c r="Y34" s="494"/>
      <c r="Z34" s="83">
        <f>AVERAGE(Z33)</f>
        <v>121.80705999999999</v>
      </c>
      <c r="AA34" s="469"/>
    </row>
    <row r="35" spans="1:31" s="214" customFormat="1" ht="30" customHeight="1" x14ac:dyDescent="0.25">
      <c r="A35" s="792" t="s">
        <v>135</v>
      </c>
      <c r="B35" s="792"/>
      <c r="C35" s="792"/>
      <c r="D35" s="792"/>
      <c r="E35" s="792"/>
      <c r="F35" s="792"/>
      <c r="G35" s="792"/>
      <c r="H35" s="792"/>
      <c r="I35" s="792"/>
      <c r="J35" s="792"/>
      <c r="K35" s="792"/>
      <c r="L35" s="792"/>
      <c r="M35" s="792"/>
      <c r="N35" s="792"/>
      <c r="O35" s="792"/>
      <c r="P35" s="792"/>
      <c r="Q35" s="792"/>
      <c r="R35" s="792"/>
      <c r="S35" s="792"/>
      <c r="T35" s="792"/>
      <c r="U35" s="495"/>
      <c r="V35" s="87" t="str">
        <f>IF(V34&lt;=50,"Sangat Rendah",IF(V34&lt;=65,"Rendah",IF(V34&lt;=75,"Sedang",IF(V34&lt;=90,"Tinggi",IF(V34&lt;=100,"Sangat Tinggi","Salah")))))</f>
        <v>Sangat Rendah</v>
      </c>
      <c r="W35" s="495"/>
      <c r="X35" s="655"/>
      <c r="Y35" s="494"/>
      <c r="Z35" s="87" t="str">
        <f>IF(Z34&lt;=50,"Sangat Rendah",IF(Z34&lt;=65,"Rendah",IF(Z34&lt;=75,"Sedang",IF(Z34&lt;=90,"Tinggi",IF(Z34&lt;=100,"Sangat Tinggi","Salah")))))</f>
        <v>Salah</v>
      </c>
      <c r="AA35" s="469"/>
      <c r="AE35" s="471"/>
    </row>
    <row r="36" spans="1:31" s="214" customFormat="1" ht="38.25" x14ac:dyDescent="0.25">
      <c r="A36" s="587" t="s">
        <v>73</v>
      </c>
      <c r="B36" s="824" t="s">
        <v>423</v>
      </c>
      <c r="C36" s="622" t="s">
        <v>23</v>
      </c>
      <c r="D36" s="621"/>
      <c r="E36" s="515"/>
      <c r="F36" s="565">
        <f>SUM(F39:F47)</f>
        <v>7158916500</v>
      </c>
      <c r="G36" s="564"/>
      <c r="H36" s="564">
        <v>8804852556</v>
      </c>
      <c r="I36" s="511"/>
      <c r="J36" s="565">
        <f>SUM(J37:J48)</f>
        <v>7277700300</v>
      </c>
      <c r="K36" s="523"/>
      <c r="L36" s="564">
        <f>SUM(L37:L48)</f>
        <v>119509355</v>
      </c>
      <c r="M36" s="523"/>
      <c r="N36" s="564">
        <f>SUM(N37:N48)</f>
        <v>686995040</v>
      </c>
      <c r="O36" s="519"/>
      <c r="P36" s="564"/>
      <c r="Q36" s="522"/>
      <c r="R36" s="564"/>
      <c r="S36" s="523"/>
      <c r="T36" s="564">
        <f>SUM(T37:T48)</f>
        <v>806504395</v>
      </c>
      <c r="U36" s="568"/>
      <c r="V36" s="172">
        <f t="shared" ref="V36:V48" si="6">T36/J36*100</f>
        <v>11.081857753884149</v>
      </c>
      <c r="W36" s="568"/>
      <c r="X36" s="564">
        <f>SUM(X39:X45)</f>
        <v>8616467871</v>
      </c>
      <c r="Y36" s="523"/>
      <c r="Z36" s="172">
        <f>X36/F36*100</f>
        <v>120.35994372891486</v>
      </c>
      <c r="AA36" s="525"/>
    </row>
    <row r="37" spans="1:31" s="214" customFormat="1" ht="28.5" customHeight="1" x14ac:dyDescent="0.25">
      <c r="A37" s="639"/>
      <c r="B37" s="824"/>
      <c r="C37" s="620" t="s">
        <v>454</v>
      </c>
      <c r="D37" s="621"/>
      <c r="E37" s="658" t="s">
        <v>317</v>
      </c>
      <c r="F37" s="565"/>
      <c r="G37" s="564">
        <v>0</v>
      </c>
      <c r="H37" s="564"/>
      <c r="I37" s="511" t="s">
        <v>478</v>
      </c>
      <c r="J37" s="531">
        <v>942312000</v>
      </c>
      <c r="K37" s="658" t="s">
        <v>317</v>
      </c>
      <c r="L37" s="544">
        <f>'[1]Apr-19(I)'!$Y$39</f>
        <v>31700000</v>
      </c>
      <c r="M37" s="658" t="s">
        <v>317</v>
      </c>
      <c r="N37" s="544">
        <f>86311000-L37</f>
        <v>54611000</v>
      </c>
      <c r="O37" s="519"/>
      <c r="P37" s="564"/>
      <c r="Q37" s="522"/>
      <c r="R37" s="564"/>
      <c r="S37" s="658" t="s">
        <v>513</v>
      </c>
      <c r="T37" s="542">
        <f>SUM(R37,P37,N37,L37)</f>
        <v>86311000</v>
      </c>
      <c r="U37" s="545">
        <f>2/4*100</f>
        <v>50</v>
      </c>
      <c r="V37" s="540">
        <f t="shared" si="6"/>
        <v>9.1594928219103657</v>
      </c>
      <c r="W37" s="673" t="s">
        <v>513</v>
      </c>
      <c r="X37" s="546">
        <f>H37+T37</f>
        <v>86311000</v>
      </c>
      <c r="Y37" s="672">
        <f>2/1</f>
        <v>2</v>
      </c>
      <c r="Z37" s="547">
        <v>100</v>
      </c>
      <c r="AA37" s="525" t="s">
        <v>31</v>
      </c>
    </row>
    <row r="38" spans="1:31" s="214" customFormat="1" ht="63.75" x14ac:dyDescent="0.25">
      <c r="A38" s="639"/>
      <c r="B38" s="824"/>
      <c r="C38" s="619" t="s">
        <v>92</v>
      </c>
      <c r="D38" s="623" t="s">
        <v>93</v>
      </c>
      <c r="E38" s="571" t="s">
        <v>151</v>
      </c>
      <c r="F38" s="581">
        <v>366306000</v>
      </c>
      <c r="G38" s="556" t="s">
        <v>190</v>
      </c>
      <c r="H38" s="542">
        <v>245905975</v>
      </c>
      <c r="I38" s="511" t="s">
        <v>292</v>
      </c>
      <c r="J38" s="543">
        <v>186182500</v>
      </c>
      <c r="K38" s="536" t="s">
        <v>308</v>
      </c>
      <c r="L38" s="544">
        <f>'[1]Apr-19(I)'!$Y$40</f>
        <v>0</v>
      </c>
      <c r="M38" s="536" t="s">
        <v>308</v>
      </c>
      <c r="N38" s="544">
        <v>14061730</v>
      </c>
      <c r="O38" s="519"/>
      <c r="P38" s="564"/>
      <c r="Q38" s="522"/>
      <c r="R38" s="564"/>
      <c r="S38" s="536" t="s">
        <v>507</v>
      </c>
      <c r="T38" s="542">
        <f t="shared" ref="T38:T45" si="7">SUM(R38,P38,N38,L38)</f>
        <v>14061730</v>
      </c>
      <c r="U38" s="545">
        <f t="shared" ref="U38" si="8">30/260*100</f>
        <v>11.538461538461538</v>
      </c>
      <c r="V38" s="540">
        <f t="shared" si="6"/>
        <v>7.5526593530541266</v>
      </c>
      <c r="W38" s="556" t="s">
        <v>190</v>
      </c>
      <c r="X38" s="546">
        <f t="shared" ref="X38:X46" si="9">H38+T38</f>
        <v>259967705</v>
      </c>
      <c r="Y38" s="671">
        <v>1</v>
      </c>
      <c r="Z38" s="547">
        <f t="shared" ref="Z38:Z47" si="10">SUM(X38/F38)*100</f>
        <v>70.970091944985896</v>
      </c>
      <c r="AA38" s="525" t="s">
        <v>31</v>
      </c>
    </row>
    <row r="39" spans="1:31" s="214" customFormat="1" ht="51" x14ac:dyDescent="0.25">
      <c r="A39" s="536"/>
      <c r="B39" s="824"/>
      <c r="C39" s="619" t="s">
        <v>24</v>
      </c>
      <c r="D39" s="623" t="s">
        <v>46</v>
      </c>
      <c r="E39" s="571" t="s">
        <v>152</v>
      </c>
      <c r="F39" s="572">
        <v>2952550000</v>
      </c>
      <c r="G39" s="489" t="s">
        <v>467</v>
      </c>
      <c r="H39" s="542">
        <v>3815420723</v>
      </c>
      <c r="I39" s="511" t="s">
        <v>527</v>
      </c>
      <c r="J39" s="543">
        <v>3440000000</v>
      </c>
      <c r="K39" s="561" t="s">
        <v>528</v>
      </c>
      <c r="L39" s="544">
        <f>'[1]Apr-19(I)'!$Y$41</f>
        <v>35236000</v>
      </c>
      <c r="M39" s="561" t="s">
        <v>528</v>
      </c>
      <c r="N39" s="544">
        <f>244092000-L39</f>
        <v>208856000</v>
      </c>
      <c r="O39" s="491"/>
      <c r="P39" s="544"/>
      <c r="Q39" s="562"/>
      <c r="R39" s="544"/>
      <c r="S39" s="561" t="s">
        <v>528</v>
      </c>
      <c r="T39" s="542">
        <f t="shared" si="7"/>
        <v>244092000</v>
      </c>
      <c r="U39" s="545">
        <f>320/670*100</f>
        <v>47.761194029850742</v>
      </c>
      <c r="V39" s="540">
        <f t="shared" si="6"/>
        <v>7.0956976744186049</v>
      </c>
      <c r="W39" s="561" t="s">
        <v>528</v>
      </c>
      <c r="X39" s="546">
        <f t="shared" si="9"/>
        <v>4059512723</v>
      </c>
      <c r="Y39" s="672">
        <f>320/60</f>
        <v>5.333333333333333</v>
      </c>
      <c r="Z39" s="547">
        <f t="shared" si="10"/>
        <v>137.49175197710451</v>
      </c>
      <c r="AA39" s="525" t="s">
        <v>31</v>
      </c>
      <c r="AC39" s="467">
        <f>SUM(J39-T39)</f>
        <v>3195908000</v>
      </c>
      <c r="AD39" s="467" t="e">
        <f>SUM(#REF!-L39)</f>
        <v>#REF!</v>
      </c>
    </row>
    <row r="40" spans="1:31" s="214" customFormat="1" ht="39.75" customHeight="1" x14ac:dyDescent="0.25">
      <c r="A40" s="536"/>
      <c r="B40" s="824"/>
      <c r="C40" s="619" t="s">
        <v>96</v>
      </c>
      <c r="D40" s="623" t="s">
        <v>426</v>
      </c>
      <c r="E40" s="681" t="s">
        <v>98</v>
      </c>
      <c r="F40" s="682">
        <v>1170576500</v>
      </c>
      <c r="G40" s="683" t="s">
        <v>98</v>
      </c>
      <c r="H40" s="542">
        <v>1193924940</v>
      </c>
      <c r="I40" s="511" t="s">
        <v>98</v>
      </c>
      <c r="J40" s="543">
        <v>330000000</v>
      </c>
      <c r="K40" s="658" t="s">
        <v>98</v>
      </c>
      <c r="L40" s="544">
        <f>'[1]Apr-19(I)'!$Y$42</f>
        <v>16879500</v>
      </c>
      <c r="M40" s="658" t="s">
        <v>98</v>
      </c>
      <c r="N40" s="544">
        <f>46274250-L40</f>
        <v>29394750</v>
      </c>
      <c r="O40" s="491"/>
      <c r="P40" s="544"/>
      <c r="Q40" s="562"/>
      <c r="R40" s="544"/>
      <c r="S40" s="658" t="s">
        <v>98</v>
      </c>
      <c r="T40" s="542">
        <f t="shared" si="7"/>
        <v>46274250</v>
      </c>
      <c r="U40" s="545">
        <f>60/60*100</f>
        <v>100</v>
      </c>
      <c r="V40" s="540">
        <f t="shared" si="6"/>
        <v>14.022499999999999</v>
      </c>
      <c r="W40" s="669" t="s">
        <v>98</v>
      </c>
      <c r="X40" s="546">
        <f t="shared" si="9"/>
        <v>1240199190</v>
      </c>
      <c r="Y40" s="672">
        <f>60/60</f>
        <v>1</v>
      </c>
      <c r="Z40" s="547">
        <f t="shared" si="10"/>
        <v>105.9477266116311</v>
      </c>
      <c r="AA40" s="525" t="s">
        <v>31</v>
      </c>
      <c r="AC40" s="467">
        <f>SUM(J40-T40)</f>
        <v>283725750</v>
      </c>
      <c r="AD40" s="467" t="e">
        <f>SUM(#REF!-L40)</f>
        <v>#REF!</v>
      </c>
    </row>
    <row r="41" spans="1:31" s="214" customFormat="1" ht="39.75" customHeight="1" x14ac:dyDescent="0.25">
      <c r="A41" s="536"/>
      <c r="B41" s="824"/>
      <c r="C41" s="624" t="s">
        <v>345</v>
      </c>
      <c r="D41" s="677" t="s">
        <v>427</v>
      </c>
      <c r="E41" s="685" t="s">
        <v>500</v>
      </c>
      <c r="F41" s="686">
        <v>1021020000</v>
      </c>
      <c r="G41" s="556" t="s">
        <v>468</v>
      </c>
      <c r="H41" s="542">
        <v>1051636850</v>
      </c>
      <c r="I41" s="559" t="s">
        <v>403</v>
      </c>
      <c r="J41" s="543">
        <v>1564357000</v>
      </c>
      <c r="K41" s="561">
        <v>0</v>
      </c>
      <c r="L41" s="544">
        <f>'[1]Apr-19(I)'!$Y$43</f>
        <v>1789400</v>
      </c>
      <c r="M41" s="561">
        <v>1</v>
      </c>
      <c r="N41" s="544">
        <f>192805940-L41</f>
        <v>191016540</v>
      </c>
      <c r="O41" s="491"/>
      <c r="P41" s="544"/>
      <c r="Q41" s="562"/>
      <c r="R41" s="544"/>
      <c r="S41" s="561">
        <v>1</v>
      </c>
      <c r="T41" s="542">
        <f t="shared" si="7"/>
        <v>192805940</v>
      </c>
      <c r="U41" s="545">
        <f>1/2*100</f>
        <v>50</v>
      </c>
      <c r="V41" s="540">
        <f t="shared" si="6"/>
        <v>12.324932224549768</v>
      </c>
      <c r="W41" s="669" t="s">
        <v>468</v>
      </c>
      <c r="X41" s="546">
        <f t="shared" si="9"/>
        <v>1244442790</v>
      </c>
      <c r="Y41" s="672">
        <f>60/60</f>
        <v>1</v>
      </c>
      <c r="Z41" s="547">
        <f t="shared" si="10"/>
        <v>121.88231278525396</v>
      </c>
      <c r="AA41" s="525" t="s">
        <v>31</v>
      </c>
      <c r="AC41" s="467"/>
      <c r="AD41" s="467"/>
    </row>
    <row r="42" spans="1:31" s="214" customFormat="1" ht="37.5" customHeight="1" x14ac:dyDescent="0.25">
      <c r="A42" s="536"/>
      <c r="B42" s="824"/>
      <c r="C42" s="623" t="s">
        <v>104</v>
      </c>
      <c r="D42" s="678" t="s">
        <v>105</v>
      </c>
      <c r="E42" s="571" t="s">
        <v>153</v>
      </c>
      <c r="F42" s="572">
        <v>223050000</v>
      </c>
      <c r="G42" s="556" t="s">
        <v>188</v>
      </c>
      <c r="H42" s="542">
        <v>221228575</v>
      </c>
      <c r="I42" s="511" t="s">
        <v>479</v>
      </c>
      <c r="J42" s="543">
        <v>102500000</v>
      </c>
      <c r="K42" s="536">
        <v>53</v>
      </c>
      <c r="L42" s="544">
        <f>'[1]Apr-19(I)'!$Y$44</f>
        <v>0</v>
      </c>
      <c r="M42" s="536">
        <v>53</v>
      </c>
      <c r="N42" s="544">
        <f>'[1]Apr-19(I)'!$Y$44</f>
        <v>0</v>
      </c>
      <c r="O42" s="573"/>
      <c r="P42" s="544"/>
      <c r="Q42" s="574"/>
      <c r="R42" s="544"/>
      <c r="S42" s="536">
        <v>106</v>
      </c>
      <c r="T42" s="542">
        <f t="shared" si="7"/>
        <v>0</v>
      </c>
      <c r="U42" s="545">
        <f>106/220*100</f>
        <v>48.18181818181818</v>
      </c>
      <c r="V42" s="540">
        <f t="shared" si="6"/>
        <v>0</v>
      </c>
      <c r="W42" s="551" t="s">
        <v>499</v>
      </c>
      <c r="X42" s="546">
        <f t="shared" si="9"/>
        <v>221228575</v>
      </c>
      <c r="Y42" s="672">
        <f>220/170</f>
        <v>1.2941176470588236</v>
      </c>
      <c r="Z42" s="547">
        <f t="shared" si="10"/>
        <v>99.183400582828966</v>
      </c>
      <c r="AA42" s="525" t="s">
        <v>31</v>
      </c>
      <c r="AC42" s="467">
        <f>SUM(J42-T42)</f>
        <v>102500000</v>
      </c>
      <c r="AD42" s="467" t="e">
        <f>SUM(#REF!-L42)</f>
        <v>#REF!</v>
      </c>
    </row>
    <row r="43" spans="1:31" s="214" customFormat="1" ht="44.25" customHeight="1" x14ac:dyDescent="0.25">
      <c r="A43" s="536"/>
      <c r="B43" s="824"/>
      <c r="C43" s="619" t="s">
        <v>120</v>
      </c>
      <c r="D43" s="678" t="s">
        <v>418</v>
      </c>
      <c r="E43" s="571" t="s">
        <v>156</v>
      </c>
      <c r="F43" s="572">
        <v>150000000</v>
      </c>
      <c r="G43" s="556" t="s">
        <v>469</v>
      </c>
      <c r="H43" s="542">
        <v>215875183</v>
      </c>
      <c r="I43" s="511" t="s">
        <v>413</v>
      </c>
      <c r="J43" s="543">
        <v>45000000</v>
      </c>
      <c r="K43" s="536">
        <v>0</v>
      </c>
      <c r="L43" s="544">
        <f>'[1]Apr-19(I)'!$Y$45</f>
        <v>0</v>
      </c>
      <c r="M43" s="536">
        <v>0</v>
      </c>
      <c r="N43" s="544">
        <v>11671900</v>
      </c>
      <c r="O43" s="491"/>
      <c r="P43" s="544"/>
      <c r="Q43" s="562"/>
      <c r="R43" s="544"/>
      <c r="S43" s="536">
        <v>0</v>
      </c>
      <c r="T43" s="542">
        <f t="shared" si="7"/>
        <v>11671900</v>
      </c>
      <c r="U43" s="545">
        <v>0</v>
      </c>
      <c r="V43" s="540">
        <f t="shared" si="6"/>
        <v>25.937555555555559</v>
      </c>
      <c r="W43" s="491" t="s">
        <v>413</v>
      </c>
      <c r="X43" s="546">
        <f t="shared" si="9"/>
        <v>227547083</v>
      </c>
      <c r="Y43" s="672">
        <f>12/12</f>
        <v>1</v>
      </c>
      <c r="Z43" s="547">
        <f t="shared" si="10"/>
        <v>151.69805533333334</v>
      </c>
      <c r="AA43" s="525" t="str">
        <f>AA39</f>
        <v>Diskominfo</v>
      </c>
      <c r="AC43" s="467"/>
      <c r="AD43" s="467"/>
    </row>
    <row r="44" spans="1:31" s="214" customFormat="1" ht="38.25" x14ac:dyDescent="0.25">
      <c r="A44" s="536"/>
      <c r="B44" s="824"/>
      <c r="C44" s="619" t="s">
        <v>455</v>
      </c>
      <c r="D44" s="679" t="s">
        <v>110</v>
      </c>
      <c r="E44" s="571" t="s">
        <v>155</v>
      </c>
      <c r="F44" s="572">
        <v>250000000</v>
      </c>
      <c r="G44" s="556" t="s">
        <v>497</v>
      </c>
      <c r="H44" s="542">
        <v>436392575</v>
      </c>
      <c r="I44" s="511" t="s">
        <v>468</v>
      </c>
      <c r="J44" s="543">
        <v>108880000</v>
      </c>
      <c r="K44" s="536">
        <v>0</v>
      </c>
      <c r="L44" s="544">
        <f>'[1]Apr-19(I)'!$Y$46</f>
        <v>729000</v>
      </c>
      <c r="M44" s="536">
        <v>0</v>
      </c>
      <c r="N44" s="544">
        <f>2079000-L44</f>
        <v>1350000</v>
      </c>
      <c r="O44" s="491"/>
      <c r="P44" s="544"/>
      <c r="Q44" s="562"/>
      <c r="R44" s="544"/>
      <c r="S44" s="536">
        <v>0</v>
      </c>
      <c r="T44" s="542">
        <f t="shared" si="7"/>
        <v>2079000</v>
      </c>
      <c r="U44" s="545">
        <v>0</v>
      </c>
      <c r="V44" s="540">
        <f t="shared" si="6"/>
        <v>1.9094415870683321</v>
      </c>
      <c r="W44" s="561" t="s">
        <v>497</v>
      </c>
      <c r="X44" s="546">
        <f t="shared" si="9"/>
        <v>438471575</v>
      </c>
      <c r="Y44" s="672">
        <f>1/1</f>
        <v>1</v>
      </c>
      <c r="Z44" s="547">
        <f t="shared" si="10"/>
        <v>175.38863000000001</v>
      </c>
      <c r="AA44" s="525" t="str">
        <f>AA40</f>
        <v>Diskominfo</v>
      </c>
      <c r="AC44" s="467"/>
      <c r="AD44" s="467"/>
    </row>
    <row r="45" spans="1:31" s="214" customFormat="1" ht="56.25" customHeight="1" x14ac:dyDescent="0.25">
      <c r="A45" s="536"/>
      <c r="B45" s="824"/>
      <c r="C45" s="619" t="s">
        <v>178</v>
      </c>
      <c r="D45" s="678" t="s">
        <v>87</v>
      </c>
      <c r="E45" s="489" t="s">
        <v>406</v>
      </c>
      <c r="F45" s="490">
        <v>500000000</v>
      </c>
      <c r="G45" s="556" t="s">
        <v>406</v>
      </c>
      <c r="H45" s="542">
        <v>1153682935</v>
      </c>
      <c r="I45" s="558" t="s">
        <v>481</v>
      </c>
      <c r="J45" s="543">
        <v>121625000</v>
      </c>
      <c r="K45" s="551" t="s">
        <v>406</v>
      </c>
      <c r="L45" s="544">
        <f>'[1]Apr-19(I)'!$Y$47</f>
        <v>15491500</v>
      </c>
      <c r="M45" s="551" t="s">
        <v>514</v>
      </c>
      <c r="N45" s="544">
        <f>31383000-L45</f>
        <v>15891500</v>
      </c>
      <c r="O45" s="489"/>
      <c r="P45" s="544"/>
      <c r="Q45" s="552"/>
      <c r="R45" s="544"/>
      <c r="S45" s="551" t="s">
        <v>515</v>
      </c>
      <c r="T45" s="542">
        <f t="shared" si="7"/>
        <v>31383000</v>
      </c>
      <c r="U45" s="545">
        <f>4/4*100</f>
        <v>100</v>
      </c>
      <c r="V45" s="540">
        <f t="shared" si="6"/>
        <v>25.803083247687564</v>
      </c>
      <c r="W45" s="551" t="s">
        <v>524</v>
      </c>
      <c r="X45" s="546">
        <f t="shared" si="9"/>
        <v>1185065935</v>
      </c>
      <c r="Y45" s="672">
        <f>10/4</f>
        <v>2.5</v>
      </c>
      <c r="Z45" s="547">
        <f t="shared" si="10"/>
        <v>237.01318699999999</v>
      </c>
      <c r="AA45" s="525" t="s">
        <v>31</v>
      </c>
      <c r="AC45" s="467"/>
      <c r="AD45" s="467"/>
    </row>
    <row r="46" spans="1:31" s="214" customFormat="1" ht="38.25" x14ac:dyDescent="0.25">
      <c r="A46" s="536"/>
      <c r="B46" s="824"/>
      <c r="C46" s="619" t="s">
        <v>280</v>
      </c>
      <c r="D46" s="678" t="s">
        <v>319</v>
      </c>
      <c r="E46" s="575" t="s">
        <v>428</v>
      </c>
      <c r="F46" s="572">
        <v>801020000</v>
      </c>
      <c r="G46" s="556" t="s">
        <v>470</v>
      </c>
      <c r="H46" s="542">
        <v>693970953</v>
      </c>
      <c r="I46" s="577" t="s">
        <v>482</v>
      </c>
      <c r="J46" s="543">
        <v>207930000</v>
      </c>
      <c r="K46" s="536">
        <v>0</v>
      </c>
      <c r="L46" s="544">
        <f>'[1]Apr-19(I)'!$Y$48</f>
        <v>0</v>
      </c>
      <c r="M46" s="577" t="s">
        <v>482</v>
      </c>
      <c r="N46" s="544">
        <v>139170000</v>
      </c>
      <c r="O46" s="519"/>
      <c r="P46" s="544"/>
      <c r="Q46" s="522"/>
      <c r="R46" s="544"/>
      <c r="S46" s="666" t="s">
        <v>482</v>
      </c>
      <c r="T46" s="542">
        <f>SUM(L46,N46,P46,R46)</f>
        <v>139170000</v>
      </c>
      <c r="U46" s="545">
        <v>0</v>
      </c>
      <c r="V46" s="540">
        <f t="shared" si="6"/>
        <v>66.931178762083405</v>
      </c>
      <c r="W46" s="536" t="s">
        <v>525</v>
      </c>
      <c r="X46" s="546">
        <f t="shared" si="9"/>
        <v>833140953</v>
      </c>
      <c r="Y46" s="672">
        <f>122/82</f>
        <v>1.4878048780487805</v>
      </c>
      <c r="Z46" s="547">
        <f t="shared" si="10"/>
        <v>104.01000636688222</v>
      </c>
      <c r="AA46" s="525" t="s">
        <v>31</v>
      </c>
      <c r="AC46" s="467"/>
      <c r="AD46" s="467"/>
    </row>
    <row r="47" spans="1:31" s="214" customFormat="1" ht="76.5" x14ac:dyDescent="0.25">
      <c r="A47" s="536"/>
      <c r="B47" s="824"/>
      <c r="C47" s="641" t="s">
        <v>480</v>
      </c>
      <c r="D47" s="680" t="s">
        <v>429</v>
      </c>
      <c r="E47" s="687" t="s">
        <v>498</v>
      </c>
      <c r="F47" s="572">
        <v>90700000</v>
      </c>
      <c r="G47" s="519" t="s">
        <v>430</v>
      </c>
      <c r="H47" s="542">
        <v>76180000</v>
      </c>
      <c r="I47" s="576" t="s">
        <v>483</v>
      </c>
      <c r="J47" s="543">
        <v>173402000</v>
      </c>
      <c r="K47" s="536" t="s">
        <v>468</v>
      </c>
      <c r="L47" s="544">
        <f>'[1]Apr-19(I)'!$Y$49</f>
        <v>10906465</v>
      </c>
      <c r="M47" s="536" t="s">
        <v>468</v>
      </c>
      <c r="N47" s="544">
        <f>16966465-L47</f>
        <v>6060000</v>
      </c>
      <c r="O47" s="519"/>
      <c r="P47" s="544"/>
      <c r="Q47" s="522"/>
      <c r="R47" s="544"/>
      <c r="S47" s="536" t="s">
        <v>403</v>
      </c>
      <c r="T47" s="542">
        <f>SUM(L47,N47,P47,R47)</f>
        <v>16966465</v>
      </c>
      <c r="U47" s="545">
        <f>2/4*100</f>
        <v>50</v>
      </c>
      <c r="V47" s="540">
        <f t="shared" si="6"/>
        <v>9.7844690372660068</v>
      </c>
      <c r="W47" s="536" t="s">
        <v>526</v>
      </c>
      <c r="X47" s="546">
        <f>H47+T47</f>
        <v>93146465</v>
      </c>
      <c r="Y47" s="672">
        <f>7/5</f>
        <v>1.4</v>
      </c>
      <c r="Z47" s="547">
        <f t="shared" si="10"/>
        <v>102.69731532524806</v>
      </c>
      <c r="AA47" s="525" t="s">
        <v>31</v>
      </c>
      <c r="AC47" s="467"/>
      <c r="AD47" s="467"/>
    </row>
    <row r="48" spans="1:31" s="214" customFormat="1" ht="25.5" x14ac:dyDescent="0.25">
      <c r="A48" s="536"/>
      <c r="B48" s="824"/>
      <c r="C48" s="659" t="s">
        <v>456</v>
      </c>
      <c r="D48" s="519"/>
      <c r="E48" s="684"/>
      <c r="F48" s="684"/>
      <c r="G48" s="684"/>
      <c r="H48" s="519"/>
      <c r="I48" s="519" t="s">
        <v>128</v>
      </c>
      <c r="J48" s="544">
        <v>55511800</v>
      </c>
      <c r="K48" s="536">
        <v>0</v>
      </c>
      <c r="L48" s="544">
        <f>'[1]Apr-19(I)'!$Y$50</f>
        <v>6777490</v>
      </c>
      <c r="M48" s="519" t="s">
        <v>128</v>
      </c>
      <c r="N48" s="544">
        <f>21689110-L48</f>
        <v>14911620</v>
      </c>
      <c r="O48" s="519"/>
      <c r="P48" s="544"/>
      <c r="Q48" s="522"/>
      <c r="R48" s="544"/>
      <c r="S48" s="519" t="s">
        <v>128</v>
      </c>
      <c r="T48" s="542">
        <f>SUM(L48,N48,P48,R48)</f>
        <v>21689110</v>
      </c>
      <c r="U48" s="545">
        <v>0</v>
      </c>
      <c r="V48" s="540">
        <f t="shared" si="6"/>
        <v>39.071170453849454</v>
      </c>
      <c r="W48" s="536" t="s">
        <v>128</v>
      </c>
      <c r="X48" s="546">
        <f>H48+T48</f>
        <v>21689110</v>
      </c>
      <c r="Y48" s="672">
        <f>1/1</f>
        <v>1</v>
      </c>
      <c r="Z48" s="547">
        <v>100</v>
      </c>
      <c r="AA48" s="525" t="s">
        <v>31</v>
      </c>
      <c r="AC48" s="467"/>
      <c r="AD48" s="467"/>
    </row>
    <row r="49" spans="1:31" s="214" customFormat="1" ht="15.75" customHeight="1" x14ac:dyDescent="0.25">
      <c r="A49" s="789" t="s">
        <v>134</v>
      </c>
      <c r="B49" s="790"/>
      <c r="C49" s="790"/>
      <c r="D49" s="790"/>
      <c r="E49" s="790"/>
      <c r="F49" s="790"/>
      <c r="G49" s="790"/>
      <c r="H49" s="790"/>
      <c r="I49" s="790"/>
      <c r="J49" s="791"/>
      <c r="K49" s="650"/>
      <c r="L49" s="578"/>
      <c r="M49" s="578"/>
      <c r="N49" s="650"/>
      <c r="O49" s="578"/>
      <c r="P49" s="578"/>
      <c r="Q49" s="578"/>
      <c r="R49" s="578"/>
      <c r="S49" s="650"/>
      <c r="T49" s="578"/>
      <c r="U49" s="495"/>
      <c r="V49" s="83">
        <f>AVERAGE(V37:V48)</f>
        <v>18.299348393120265</v>
      </c>
      <c r="W49" s="495"/>
      <c r="X49" s="655"/>
      <c r="Y49" s="494"/>
      <c r="Z49" s="83">
        <f>AVERAGE(Z37:Z48)</f>
        <v>125.52353982727233</v>
      </c>
      <c r="AA49" s="469"/>
    </row>
    <row r="50" spans="1:31" s="214" customFormat="1" ht="27" customHeight="1" x14ac:dyDescent="0.25">
      <c r="A50" s="789" t="s">
        <v>135</v>
      </c>
      <c r="B50" s="790"/>
      <c r="C50" s="790"/>
      <c r="D50" s="790"/>
      <c r="E50" s="790"/>
      <c r="F50" s="790"/>
      <c r="G50" s="790"/>
      <c r="H50" s="790"/>
      <c r="I50" s="790"/>
      <c r="J50" s="791"/>
      <c r="K50" s="650"/>
      <c r="L50" s="578"/>
      <c r="M50" s="578"/>
      <c r="N50" s="650"/>
      <c r="O50" s="578"/>
      <c r="P50" s="578"/>
      <c r="Q50" s="578"/>
      <c r="R50" s="578"/>
      <c r="S50" s="650"/>
      <c r="T50" s="578"/>
      <c r="U50" s="495"/>
      <c r="V50" s="87" t="str">
        <f>IF(V49&lt;=50,"Sangat Rendah",IF(V49&lt;=65,"Rendah",IF(V49&lt;=75,"Sedang",IF(V49&lt;=90,"Tinggi",IF(V49&lt;=100,"Sangat Tinggi","Salah")))))</f>
        <v>Sangat Rendah</v>
      </c>
      <c r="W50" s="495"/>
      <c r="X50" s="655"/>
      <c r="Y50" s="494"/>
      <c r="Z50" s="87" t="str">
        <f>IF(Z49&lt;=50,"Sangat Rendah",IF(Z49&lt;=65,"Rendah",IF(Z49&lt;=75,"Sedang",IF(Z49&lt;=90,"Tinggi",IF(Z49&lt;=100,"Sangat Tinggi","Salah")))))</f>
        <v>Salah</v>
      </c>
      <c r="AA50" s="469"/>
      <c r="AE50" s="471"/>
    </row>
    <row r="51" spans="1:31" s="214" customFormat="1" ht="57.75" customHeight="1" x14ac:dyDescent="0.25">
      <c r="A51" s="587" t="s">
        <v>123</v>
      </c>
      <c r="B51" s="801"/>
      <c r="C51" s="617" t="s">
        <v>125</v>
      </c>
      <c r="D51" s="621"/>
      <c r="E51" s="515"/>
      <c r="F51" s="565">
        <f>SUM(F52)</f>
        <v>380347730</v>
      </c>
      <c r="G51" s="564"/>
      <c r="H51" s="565">
        <f>SUM(H52)</f>
        <v>293075290</v>
      </c>
      <c r="I51" s="511"/>
      <c r="J51" s="565">
        <f>SUM(J52)</f>
        <v>125000000</v>
      </c>
      <c r="K51" s="523"/>
      <c r="L51" s="564">
        <f>SUM(L52:L52)</f>
        <v>3602500</v>
      </c>
      <c r="M51" s="523"/>
      <c r="N51" s="564">
        <f>SUM(N52:N52)</f>
        <v>0</v>
      </c>
      <c r="O51" s="519"/>
      <c r="P51" s="564"/>
      <c r="Q51" s="522"/>
      <c r="R51" s="564"/>
      <c r="S51" s="519"/>
      <c r="T51" s="564">
        <f>SUM(T52:T52)</f>
        <v>3602500</v>
      </c>
      <c r="U51" s="579"/>
      <c r="V51" s="172">
        <f>T51/J51*100</f>
        <v>2.8819999999999997</v>
      </c>
      <c r="W51" s="579"/>
      <c r="X51" s="564">
        <f>SUM(X52:X52)</f>
        <v>296677790</v>
      </c>
      <c r="Y51" s="580"/>
      <c r="Z51" s="172">
        <f>X51/F51*100</f>
        <v>78.001724895268865</v>
      </c>
      <c r="AA51" s="525"/>
    </row>
    <row r="52" spans="1:31" s="214" customFormat="1" ht="25.5" x14ac:dyDescent="0.25">
      <c r="A52" s="536"/>
      <c r="B52" s="801"/>
      <c r="C52" s="642" t="s">
        <v>126</v>
      </c>
      <c r="D52" s="643" t="s">
        <v>127</v>
      </c>
      <c r="E52" s="644" t="s">
        <v>128</v>
      </c>
      <c r="F52" s="197">
        <v>380347730</v>
      </c>
      <c r="G52" s="562" t="s">
        <v>484</v>
      </c>
      <c r="H52" s="542">
        <v>293075290</v>
      </c>
      <c r="I52" s="511" t="s">
        <v>485</v>
      </c>
      <c r="J52" s="543">
        <v>125000000</v>
      </c>
      <c r="K52" s="536">
        <v>0</v>
      </c>
      <c r="L52" s="544">
        <f>'[1]Apr-19(I)'!$Y$56</f>
        <v>3602500</v>
      </c>
      <c r="M52" s="536">
        <v>0</v>
      </c>
      <c r="N52" s="544">
        <v>0</v>
      </c>
      <c r="O52" s="519"/>
      <c r="P52" s="544"/>
      <c r="Q52" s="522"/>
      <c r="R52" s="544"/>
      <c r="S52" s="667">
        <f>K52</f>
        <v>0</v>
      </c>
      <c r="T52" s="542">
        <f>SUM(L52,N52,P52,R52)</f>
        <v>3602500</v>
      </c>
      <c r="U52" s="545">
        <v>0</v>
      </c>
      <c r="V52" s="540">
        <f>T52/J38*100</f>
        <v>1.9349294375142669</v>
      </c>
      <c r="W52" s="551" t="s">
        <v>484</v>
      </c>
      <c r="X52" s="546">
        <f>H52+T52</f>
        <v>296677790</v>
      </c>
      <c r="Y52" s="672">
        <f>864/60</f>
        <v>14.4</v>
      </c>
      <c r="Z52" s="547">
        <f>SUM(X52/F38)*100</f>
        <v>80.991791016254169</v>
      </c>
      <c r="AA52" s="525" t="str">
        <f>AA46</f>
        <v>Diskominfo</v>
      </c>
      <c r="AC52" s="467"/>
      <c r="AD52" s="467"/>
    </row>
    <row r="53" spans="1:31" s="214" customFormat="1" ht="14.25" customHeight="1" x14ac:dyDescent="0.25">
      <c r="A53" s="789" t="s">
        <v>134</v>
      </c>
      <c r="B53" s="790"/>
      <c r="C53" s="790"/>
      <c r="D53" s="790"/>
      <c r="E53" s="790"/>
      <c r="F53" s="790"/>
      <c r="G53" s="790"/>
      <c r="H53" s="790"/>
      <c r="I53" s="790"/>
      <c r="J53" s="791"/>
      <c r="K53" s="650"/>
      <c r="L53" s="578"/>
      <c r="M53" s="578"/>
      <c r="N53" s="650"/>
      <c r="O53" s="578"/>
      <c r="P53" s="578"/>
      <c r="Q53" s="578"/>
      <c r="R53" s="578"/>
      <c r="S53" s="650"/>
      <c r="T53" s="578"/>
      <c r="U53" s="495"/>
      <c r="V53" s="83">
        <f>AVERAGE(V52:V52)</f>
        <v>1.9349294375142669</v>
      </c>
      <c r="W53" s="495"/>
      <c r="X53" s="468"/>
      <c r="Y53" s="494"/>
      <c r="Z53" s="83">
        <f>AVERAGE(Z52:Z52)</f>
        <v>80.991791016254169</v>
      </c>
      <c r="AA53" s="469"/>
    </row>
    <row r="54" spans="1:31" s="214" customFormat="1" ht="27" customHeight="1" x14ac:dyDescent="0.25">
      <c r="A54" s="789" t="s">
        <v>135</v>
      </c>
      <c r="B54" s="790"/>
      <c r="C54" s="790"/>
      <c r="D54" s="790"/>
      <c r="E54" s="790"/>
      <c r="F54" s="790"/>
      <c r="G54" s="790"/>
      <c r="H54" s="790"/>
      <c r="I54" s="790"/>
      <c r="J54" s="791"/>
      <c r="K54" s="650"/>
      <c r="L54" s="578"/>
      <c r="M54" s="578"/>
      <c r="N54" s="650"/>
      <c r="O54" s="578"/>
      <c r="P54" s="578"/>
      <c r="Q54" s="578"/>
      <c r="R54" s="578"/>
      <c r="S54" s="650"/>
      <c r="T54" s="578"/>
      <c r="U54" s="495"/>
      <c r="V54" s="87" t="str">
        <f>IF(V53&lt;=50,"Sangat Rendah",IF(V53&lt;=65,"Rendah",IF(V53&lt;=75,"Sedang",IF(V53&lt;=90,"Tinggi",IF(V53&lt;=100,"Sangat Tinggi","Salah")))))</f>
        <v>Sangat Rendah</v>
      </c>
      <c r="W54" s="495"/>
      <c r="X54" s="468"/>
      <c r="Y54" s="494"/>
      <c r="Z54" s="87" t="str">
        <f>IF(Z53&lt;=50,"Sangat Rendah",IF(Z53&lt;=65,"Rendah",IF(Z53&lt;=75,"Sedang",IF(Z53&lt;=90,"Tinggi",IF(Z53&lt;=100,"Sangat Tinggi","Salah")))))</f>
        <v>Tinggi</v>
      </c>
      <c r="AA54" s="469"/>
      <c r="AE54" s="471"/>
    </row>
    <row r="55" spans="1:31" s="214" customFormat="1" ht="38.25" x14ac:dyDescent="0.25">
      <c r="A55" s="587" t="s">
        <v>146</v>
      </c>
      <c r="B55" s="801"/>
      <c r="C55" s="617" t="s">
        <v>129</v>
      </c>
      <c r="D55" s="621"/>
      <c r="E55" s="515"/>
      <c r="F55" s="565">
        <f>SUM(F57:F62)</f>
        <v>5908267310</v>
      </c>
      <c r="G55" s="564"/>
      <c r="H55" s="564">
        <f>SUM(H57:H62)</f>
        <v>3463040615</v>
      </c>
      <c r="I55" s="511"/>
      <c r="J55" s="565">
        <f>SUM(J56:J62)</f>
        <v>1909183850</v>
      </c>
      <c r="K55" s="523"/>
      <c r="L55" s="564">
        <f>SUM(L56:L62)</f>
        <v>62803514</v>
      </c>
      <c r="M55" s="523"/>
      <c r="N55" s="564">
        <f>SUM(N56:N62)</f>
        <v>85842160</v>
      </c>
      <c r="O55" s="519"/>
      <c r="P55" s="564"/>
      <c r="Q55" s="522"/>
      <c r="R55" s="564"/>
      <c r="S55" s="582"/>
      <c r="T55" s="564">
        <f>SUM(T56:T62)</f>
        <v>148645674</v>
      </c>
      <c r="U55" s="579"/>
      <c r="V55" s="83">
        <f t="shared" ref="V55:V62" si="11">T55/J55*100</f>
        <v>7.7858229316155176</v>
      </c>
      <c r="W55" s="579"/>
      <c r="X55" s="564">
        <f>SUM(X57:X57)</f>
        <v>1093417467</v>
      </c>
      <c r="Y55" s="580"/>
      <c r="Z55" s="172">
        <f>X55/F55*100</f>
        <v>18.506567317110775</v>
      </c>
      <c r="AA55" s="525"/>
    </row>
    <row r="56" spans="1:31" s="214" customFormat="1" ht="38.25" x14ac:dyDescent="0.25">
      <c r="A56" s="639"/>
      <c r="B56" s="801"/>
      <c r="C56" s="645" t="s">
        <v>457</v>
      </c>
      <c r="D56" s="647" t="s">
        <v>117</v>
      </c>
      <c r="E56" s="646" t="s">
        <v>149</v>
      </c>
      <c r="F56" s="113">
        <v>582000000</v>
      </c>
      <c r="G56" s="113" t="s">
        <v>486</v>
      </c>
      <c r="H56" s="113">
        <v>259880925</v>
      </c>
      <c r="I56" s="136" t="s">
        <v>487</v>
      </c>
      <c r="J56" s="113">
        <v>128453000</v>
      </c>
      <c r="K56" s="651">
        <v>0</v>
      </c>
      <c r="L56" s="544">
        <f>'[1]Apr-19(I)'!$Y$59</f>
        <v>5369000</v>
      </c>
      <c r="M56" s="660" t="s">
        <v>505</v>
      </c>
      <c r="N56" s="544">
        <f>23438900-L56</f>
        <v>18069900</v>
      </c>
      <c r="O56" s="519"/>
      <c r="P56" s="564"/>
      <c r="Q56" s="522"/>
      <c r="R56" s="564"/>
      <c r="S56" s="668" t="s">
        <v>505</v>
      </c>
      <c r="T56" s="542">
        <f t="shared" ref="T56:T62" si="12">SUM(L56,N56,P56,R56)</f>
        <v>23438900</v>
      </c>
      <c r="U56" s="545">
        <f>1/7*100</f>
        <v>14.285714285714285</v>
      </c>
      <c r="V56" s="540">
        <f>T56/J56*100</f>
        <v>18.247063128148039</v>
      </c>
      <c r="W56" s="669" t="s">
        <v>529</v>
      </c>
      <c r="X56" s="546">
        <f t="shared" ref="X56:X62" si="13">H56+T56</f>
        <v>283319825</v>
      </c>
      <c r="Y56" s="672">
        <f>34/16</f>
        <v>2.125</v>
      </c>
      <c r="Z56" s="547">
        <f t="shared" ref="Z56:Z62" si="14">SUM(X56/F56)*100</f>
        <v>48.680382302405498</v>
      </c>
      <c r="AA56" s="525" t="s">
        <v>31</v>
      </c>
    </row>
    <row r="57" spans="1:31" s="214" customFormat="1" ht="25.5" x14ac:dyDescent="0.25">
      <c r="A57" s="536"/>
      <c r="B57" s="801"/>
      <c r="C57" s="620" t="s">
        <v>25</v>
      </c>
      <c r="D57" s="619" t="s">
        <v>131</v>
      </c>
      <c r="E57" s="489" t="s">
        <v>132</v>
      </c>
      <c r="F57" s="581">
        <f>221988000+230000000+253000000+278300000+306130000+326743000</f>
        <v>1616161000</v>
      </c>
      <c r="G57" s="562" t="s">
        <v>471</v>
      </c>
      <c r="H57" s="542">
        <v>1070535122</v>
      </c>
      <c r="I57" s="511" t="s">
        <v>132</v>
      </c>
      <c r="J57" s="543">
        <v>661950000</v>
      </c>
      <c r="K57" s="536">
        <f>18000/4</f>
        <v>4500</v>
      </c>
      <c r="L57" s="544">
        <f>'[1]Apr-19(I)'!$Y$60</f>
        <v>22882345</v>
      </c>
      <c r="M57" s="536">
        <v>0</v>
      </c>
      <c r="N57" s="544">
        <v>0</v>
      </c>
      <c r="O57" s="519"/>
      <c r="P57" s="544"/>
      <c r="Q57" s="522"/>
      <c r="R57" s="544"/>
      <c r="S57" s="536">
        <f>K57</f>
        <v>4500</v>
      </c>
      <c r="T57" s="542">
        <f t="shared" si="12"/>
        <v>22882345</v>
      </c>
      <c r="U57" s="545">
        <f>4500/18000*100</f>
        <v>25</v>
      </c>
      <c r="V57" s="540">
        <f t="shared" si="11"/>
        <v>3.4568086713498003</v>
      </c>
      <c r="W57" s="670" t="s">
        <v>530</v>
      </c>
      <c r="X57" s="546">
        <f t="shared" si="13"/>
        <v>1093417467</v>
      </c>
      <c r="Y57" s="672">
        <f>89500/18000</f>
        <v>4.9722222222222223</v>
      </c>
      <c r="Z57" s="547">
        <f t="shared" si="14"/>
        <v>67.655231564182046</v>
      </c>
      <c r="AA57" s="525" t="str">
        <f>AA52</f>
        <v>Diskominfo</v>
      </c>
      <c r="AC57" s="467">
        <f>SUM(J57-T57)</f>
        <v>639067655</v>
      </c>
      <c r="AD57" s="467" t="e">
        <f>SUM(#REF!-L57)</f>
        <v>#REF!</v>
      </c>
    </row>
    <row r="58" spans="1:31" s="214" customFormat="1" ht="71.25" customHeight="1" x14ac:dyDescent="0.25">
      <c r="B58" s="801"/>
      <c r="C58" s="619" t="s">
        <v>166</v>
      </c>
      <c r="D58" s="623" t="s">
        <v>115</v>
      </c>
      <c r="E58" s="571" t="s">
        <v>98</v>
      </c>
      <c r="F58" s="581">
        <v>1362047810</v>
      </c>
      <c r="G58" s="562" t="s">
        <v>472</v>
      </c>
      <c r="H58" s="542">
        <v>607655400</v>
      </c>
      <c r="I58" s="511" t="s">
        <v>488</v>
      </c>
      <c r="J58" s="543">
        <v>90738000</v>
      </c>
      <c r="K58" s="551">
        <f>14400/4</f>
        <v>3600</v>
      </c>
      <c r="L58" s="544">
        <f>'[1]Apr-19(I)'!$Y$61</f>
        <v>0</v>
      </c>
      <c r="M58" s="551">
        <f>14400/4</f>
        <v>3600</v>
      </c>
      <c r="N58" s="544">
        <f>'[1]Apr-19(I)'!$Y$61</f>
        <v>0</v>
      </c>
      <c r="O58" s="525"/>
      <c r="P58" s="544"/>
      <c r="Q58" s="552"/>
      <c r="R58" s="544"/>
      <c r="S58" s="551">
        <f>14400/2</f>
        <v>7200</v>
      </c>
      <c r="T58" s="542">
        <f t="shared" si="12"/>
        <v>0</v>
      </c>
      <c r="U58" s="545">
        <f>7200/14400*100</f>
        <v>50</v>
      </c>
      <c r="V58" s="540">
        <f t="shared" si="11"/>
        <v>0</v>
      </c>
      <c r="W58" s="548" t="s">
        <v>531</v>
      </c>
      <c r="X58" s="546">
        <f t="shared" si="13"/>
        <v>607655400</v>
      </c>
      <c r="Y58" s="672">
        <f>4436/60</f>
        <v>73.933333333333337</v>
      </c>
      <c r="Z58" s="547">
        <f t="shared" si="14"/>
        <v>44.613367867020763</v>
      </c>
      <c r="AA58" s="525" t="str">
        <f>AA57</f>
        <v>Diskominfo</v>
      </c>
    </row>
    <row r="59" spans="1:31" s="214" customFormat="1" ht="63.75" x14ac:dyDescent="0.25">
      <c r="A59" s="587"/>
      <c r="B59" s="801"/>
      <c r="C59" s="619" t="s">
        <v>118</v>
      </c>
      <c r="D59" s="623" t="s">
        <v>119</v>
      </c>
      <c r="E59" s="583" t="s">
        <v>150</v>
      </c>
      <c r="F59" s="584">
        <v>665500000</v>
      </c>
      <c r="G59" s="562" t="s">
        <v>473</v>
      </c>
      <c r="H59" s="542">
        <v>353702500</v>
      </c>
      <c r="I59" s="511" t="s">
        <v>489</v>
      </c>
      <c r="J59" s="543">
        <v>254212000</v>
      </c>
      <c r="K59" s="536" t="s">
        <v>402</v>
      </c>
      <c r="L59" s="544">
        <f>'[1]Apr-19(I)'!$Y$62</f>
        <v>3010500</v>
      </c>
      <c r="M59" s="536" t="s">
        <v>402</v>
      </c>
      <c r="N59" s="544">
        <f>5821260-L59</f>
        <v>2810760</v>
      </c>
      <c r="O59" s="519"/>
      <c r="P59" s="544"/>
      <c r="Q59" s="522"/>
      <c r="R59" s="544"/>
      <c r="S59" s="536" t="s">
        <v>516</v>
      </c>
      <c r="T59" s="542">
        <f t="shared" si="12"/>
        <v>5821260</v>
      </c>
      <c r="U59" s="545">
        <f>4/8*100</f>
        <v>50</v>
      </c>
      <c r="V59" s="540">
        <f t="shared" si="11"/>
        <v>2.2899233710446398</v>
      </c>
      <c r="W59" s="670" t="s">
        <v>532</v>
      </c>
      <c r="X59" s="546">
        <f t="shared" si="13"/>
        <v>359523760</v>
      </c>
      <c r="Y59" s="672">
        <f>24/12</f>
        <v>2</v>
      </c>
      <c r="Z59" s="547">
        <f t="shared" si="14"/>
        <v>54.023104432757329</v>
      </c>
      <c r="AA59" s="525" t="str">
        <f>AA58</f>
        <v>Diskominfo</v>
      </c>
    </row>
    <row r="60" spans="1:31" s="214" customFormat="1" ht="76.5" x14ac:dyDescent="0.25">
      <c r="A60" s="639"/>
      <c r="B60" s="801"/>
      <c r="C60" s="619" t="s">
        <v>490</v>
      </c>
      <c r="D60" s="218" t="s">
        <v>200</v>
      </c>
      <c r="E60" s="216" t="s">
        <v>201</v>
      </c>
      <c r="F60" s="217">
        <v>239000000</v>
      </c>
      <c r="G60" s="562" t="s">
        <v>483</v>
      </c>
      <c r="H60" s="542">
        <v>135618000</v>
      </c>
      <c r="I60" s="511" t="s">
        <v>491</v>
      </c>
      <c r="J60" s="543">
        <v>120560250</v>
      </c>
      <c r="K60" s="536">
        <v>0</v>
      </c>
      <c r="L60" s="544">
        <f>'[1]Apr-19(I)'!$Y$63</f>
        <v>1704000</v>
      </c>
      <c r="M60" s="511" t="s">
        <v>491</v>
      </c>
      <c r="N60" s="544">
        <f>15785500-L60</f>
        <v>14081500</v>
      </c>
      <c r="O60" s="519"/>
      <c r="P60" s="544"/>
      <c r="Q60" s="522"/>
      <c r="R60" s="544"/>
      <c r="S60" s="511" t="s">
        <v>491</v>
      </c>
      <c r="T60" s="542">
        <f t="shared" si="12"/>
        <v>15785500</v>
      </c>
      <c r="U60" s="545">
        <f>25/25*100</f>
        <v>100</v>
      </c>
      <c r="V60" s="540">
        <f>T60/J60*100</f>
        <v>13.093453273363318</v>
      </c>
      <c r="W60" s="562" t="s">
        <v>533</v>
      </c>
      <c r="X60" s="546">
        <f t="shared" si="13"/>
        <v>151403500</v>
      </c>
      <c r="Y60" s="672">
        <f>29/2</f>
        <v>14.5</v>
      </c>
      <c r="Z60" s="547">
        <f t="shared" si="14"/>
        <v>63.348744769874479</v>
      </c>
      <c r="AA60" s="525" t="str">
        <f>AA59</f>
        <v>Diskominfo</v>
      </c>
    </row>
    <row r="61" spans="1:31" s="214" customFormat="1" ht="38.25" x14ac:dyDescent="0.25">
      <c r="A61" s="587"/>
      <c r="B61" s="801"/>
      <c r="C61" s="619" t="s">
        <v>107</v>
      </c>
      <c r="D61" s="623" t="s">
        <v>113</v>
      </c>
      <c r="E61" s="491" t="s">
        <v>114</v>
      </c>
      <c r="F61" s="581">
        <v>824188500</v>
      </c>
      <c r="G61" s="562" t="s">
        <v>143</v>
      </c>
      <c r="H61" s="542">
        <v>923235053</v>
      </c>
      <c r="I61" s="562" t="s">
        <v>143</v>
      </c>
      <c r="J61" s="543">
        <v>423225000</v>
      </c>
      <c r="K61" s="562" t="s">
        <v>143</v>
      </c>
      <c r="L61" s="544">
        <f>'[1]Apr-19(I)'!$Y$64</f>
        <v>9866794</v>
      </c>
      <c r="M61" s="562" t="s">
        <v>143</v>
      </c>
      <c r="N61" s="544">
        <f>60746794-L61</f>
        <v>50880000</v>
      </c>
      <c r="O61" s="491"/>
      <c r="P61" s="544"/>
      <c r="Q61" s="562"/>
      <c r="R61" s="544"/>
      <c r="S61" s="562" t="s">
        <v>143</v>
      </c>
      <c r="T61" s="542">
        <f t="shared" si="12"/>
        <v>60746794</v>
      </c>
      <c r="U61" s="545">
        <v>100</v>
      </c>
      <c r="V61" s="540">
        <f t="shared" si="11"/>
        <v>14.353309468958592</v>
      </c>
      <c r="W61" s="551" t="s">
        <v>143</v>
      </c>
      <c r="X61" s="546">
        <f t="shared" si="13"/>
        <v>983981847</v>
      </c>
      <c r="Y61" s="672">
        <f>19/19</f>
        <v>1</v>
      </c>
      <c r="Z61" s="547">
        <f t="shared" si="14"/>
        <v>119.38796124915598</v>
      </c>
      <c r="AA61" s="525" t="str">
        <f>AA57</f>
        <v>Diskominfo</v>
      </c>
    </row>
    <row r="62" spans="1:31" s="214" customFormat="1" ht="25.5" x14ac:dyDescent="0.25">
      <c r="A62" s="587"/>
      <c r="B62" s="801"/>
      <c r="C62" s="619" t="s">
        <v>112</v>
      </c>
      <c r="D62" s="623" t="s">
        <v>113</v>
      </c>
      <c r="E62" s="491" t="s">
        <v>114</v>
      </c>
      <c r="F62" s="581">
        <v>1201370000</v>
      </c>
      <c r="G62" s="562" t="s">
        <v>143</v>
      </c>
      <c r="H62" s="542">
        <v>372294540</v>
      </c>
      <c r="I62" s="511" t="s">
        <v>492</v>
      </c>
      <c r="J62" s="543">
        <v>230045600</v>
      </c>
      <c r="K62" s="562" t="s">
        <v>143</v>
      </c>
      <c r="L62" s="544">
        <f>'[1]Apr-19(I)'!$Y$65</f>
        <v>19970875</v>
      </c>
      <c r="M62" s="562" t="s">
        <v>143</v>
      </c>
      <c r="N62" s="544">
        <v>0</v>
      </c>
      <c r="O62" s="491"/>
      <c r="P62" s="544"/>
      <c r="Q62" s="562"/>
      <c r="R62" s="544"/>
      <c r="S62" s="562" t="s">
        <v>143</v>
      </c>
      <c r="T62" s="542">
        <f t="shared" si="12"/>
        <v>19970875</v>
      </c>
      <c r="U62" s="545">
        <v>100</v>
      </c>
      <c r="V62" s="540">
        <f t="shared" si="11"/>
        <v>8.6812679746971906</v>
      </c>
      <c r="W62" s="551" t="s">
        <v>143</v>
      </c>
      <c r="X62" s="546">
        <f t="shared" si="13"/>
        <v>392265415</v>
      </c>
      <c r="Y62" s="672">
        <f>19/19</f>
        <v>1</v>
      </c>
      <c r="Z62" s="547">
        <f t="shared" si="14"/>
        <v>32.651507445666198</v>
      </c>
      <c r="AA62" s="525" t="str">
        <f>AA58</f>
        <v>Diskominfo</v>
      </c>
    </row>
    <row r="63" spans="1:31" s="214" customFormat="1" ht="15.75" customHeight="1" x14ac:dyDescent="0.25">
      <c r="A63" s="789" t="s">
        <v>134</v>
      </c>
      <c r="B63" s="790"/>
      <c r="C63" s="790"/>
      <c r="D63" s="790"/>
      <c r="E63" s="790"/>
      <c r="F63" s="790"/>
      <c r="G63" s="790"/>
      <c r="H63" s="790"/>
      <c r="I63" s="790"/>
      <c r="J63" s="791"/>
      <c r="K63" s="650"/>
      <c r="L63" s="578"/>
      <c r="M63" s="578"/>
      <c r="N63" s="650"/>
      <c r="O63" s="578"/>
      <c r="P63" s="578"/>
      <c r="Q63" s="578"/>
      <c r="R63" s="578"/>
      <c r="S63" s="650"/>
      <c r="T63" s="578"/>
      <c r="U63" s="495"/>
      <c r="V63" s="83">
        <f>AVERAGE(V56:V62)</f>
        <v>8.5888322696516557</v>
      </c>
      <c r="W63" s="495"/>
      <c r="X63" s="655"/>
      <c r="Y63" s="494"/>
      <c r="Z63" s="83">
        <f>AVERAGE(Z56:Z62)</f>
        <v>61.480042804437467</v>
      </c>
      <c r="AA63" s="469"/>
    </row>
    <row r="64" spans="1:31" s="214" customFormat="1" ht="27.75" customHeight="1" x14ac:dyDescent="0.25">
      <c r="A64" s="789" t="s">
        <v>135</v>
      </c>
      <c r="B64" s="790"/>
      <c r="C64" s="790"/>
      <c r="D64" s="790"/>
      <c r="E64" s="790"/>
      <c r="F64" s="790"/>
      <c r="G64" s="790"/>
      <c r="H64" s="790"/>
      <c r="I64" s="790"/>
      <c r="J64" s="791"/>
      <c r="K64" s="650"/>
      <c r="L64" s="578"/>
      <c r="M64" s="578"/>
      <c r="N64" s="650"/>
      <c r="O64" s="578"/>
      <c r="P64" s="578"/>
      <c r="Q64" s="578"/>
      <c r="R64" s="578"/>
      <c r="S64" s="650"/>
      <c r="T64" s="578"/>
      <c r="U64" s="495"/>
      <c r="V64" s="87" t="str">
        <f>IF(V63&lt;=50,"Sangat Rendah",IF(V63&lt;=65,"Rendah",IF(V63&lt;=75,"Sedang",IF(V63&lt;=90,"Tinggi",IF(V63&lt;=100,"Sangat Tinggi","Salah")))))</f>
        <v>Sangat Rendah</v>
      </c>
      <c r="W64" s="495"/>
      <c r="X64" s="655"/>
      <c r="Y64" s="494"/>
      <c r="Z64" s="87" t="str">
        <f>IF(Z63&lt;=50,"Sangat Rendah",IF(Z63&lt;=65,"Rendah",IF(Z63&lt;=75,"Sedang",IF(Z63&lt;=90,"Tinggi",IF(Z63&lt;=100,"Sangat Tinggi","Salah")))))</f>
        <v>Rendah</v>
      </c>
      <c r="AA64" s="469"/>
      <c r="AE64" s="471"/>
    </row>
    <row r="65" spans="1:31" s="214" customFormat="1" ht="26.25" customHeight="1" x14ac:dyDescent="0.25">
      <c r="A65" s="587" t="s">
        <v>431</v>
      </c>
      <c r="B65" s="801"/>
      <c r="C65" s="617" t="s">
        <v>287</v>
      </c>
      <c r="D65" s="621"/>
      <c r="E65" s="581" t="s">
        <v>323</v>
      </c>
      <c r="F65" s="565">
        <f>SUM(F66:F66)</f>
        <v>2370000000</v>
      </c>
      <c r="G65" s="564"/>
      <c r="H65" s="564">
        <v>1025621965</v>
      </c>
      <c r="I65" s="511"/>
      <c r="J65" s="565">
        <f>SUM(J66:J66)</f>
        <v>480913000</v>
      </c>
      <c r="K65" s="523"/>
      <c r="L65" s="564">
        <f>SUM(L66:L66)</f>
        <v>5622000</v>
      </c>
      <c r="M65" s="523"/>
      <c r="N65" s="564">
        <f>SUM(N66:N66)</f>
        <v>13536500</v>
      </c>
      <c r="O65" s="519"/>
      <c r="P65" s="564"/>
      <c r="Q65" s="522"/>
      <c r="R65" s="564"/>
      <c r="S65" s="542"/>
      <c r="T65" s="564">
        <f>SUM(T66:T66)</f>
        <v>19158500</v>
      </c>
      <c r="U65" s="579"/>
      <c r="V65" s="83">
        <f>T65/J65*100</f>
        <v>3.9837766914181985</v>
      </c>
      <c r="W65" s="579"/>
      <c r="X65" s="564">
        <f>T65+H65</f>
        <v>1044780465</v>
      </c>
      <c r="Y65" s="580"/>
      <c r="Z65" s="172">
        <f>X65/F65*100</f>
        <v>44.083563924050637</v>
      </c>
      <c r="AA65" s="525"/>
    </row>
    <row r="66" spans="1:31" s="214" customFormat="1" ht="39.75" customHeight="1" x14ac:dyDescent="0.25">
      <c r="A66" s="587"/>
      <c r="B66" s="801"/>
      <c r="C66" s="619" t="s">
        <v>288</v>
      </c>
      <c r="D66" s="625" t="s">
        <v>400</v>
      </c>
      <c r="E66" s="581" t="s">
        <v>322</v>
      </c>
      <c r="F66" s="581">
        <v>2370000000</v>
      </c>
      <c r="G66" s="489" t="s">
        <v>417</v>
      </c>
      <c r="H66" s="542">
        <v>1025621965</v>
      </c>
      <c r="I66" s="511" t="s">
        <v>493</v>
      </c>
      <c r="J66" s="543">
        <v>480913000</v>
      </c>
      <c r="K66" s="561">
        <v>0</v>
      </c>
      <c r="L66" s="544">
        <f>'[1]Apr-19(I)'!$Y$53</f>
        <v>5622000</v>
      </c>
      <c r="M66" s="561">
        <v>0</v>
      </c>
      <c r="N66" s="544">
        <f>19158500-L66</f>
        <v>13536500</v>
      </c>
      <c r="O66" s="491"/>
      <c r="P66" s="544"/>
      <c r="Q66" s="519"/>
      <c r="R66" s="544"/>
      <c r="S66" s="667">
        <v>0</v>
      </c>
      <c r="T66" s="542">
        <f>SUM(L66,N66,P66,R66)</f>
        <v>19158500</v>
      </c>
      <c r="U66" s="545">
        <v>0</v>
      </c>
      <c r="V66" s="540">
        <f>T66/J66*100</f>
        <v>3.9837766914181985</v>
      </c>
      <c r="W66" s="669" t="s">
        <v>417</v>
      </c>
      <c r="X66" s="546">
        <f>H66+T66</f>
        <v>1044780465</v>
      </c>
      <c r="Y66" s="672">
        <f>27/45</f>
        <v>0.6</v>
      </c>
      <c r="Z66" s="547">
        <f>SUM(X66/F66)*100</f>
        <v>44.083563924050637</v>
      </c>
      <c r="AA66" s="525" t="s">
        <v>31</v>
      </c>
    </row>
    <row r="67" spans="1:31" s="214" customFormat="1" ht="18.75" customHeight="1" x14ac:dyDescent="0.25">
      <c r="A67" s="789" t="s">
        <v>134</v>
      </c>
      <c r="B67" s="790"/>
      <c r="C67" s="790"/>
      <c r="D67" s="790"/>
      <c r="E67" s="790"/>
      <c r="F67" s="790"/>
      <c r="G67" s="790"/>
      <c r="H67" s="790"/>
      <c r="I67" s="790"/>
      <c r="J67" s="791"/>
      <c r="K67" s="650"/>
      <c r="L67" s="578"/>
      <c r="M67" s="578"/>
      <c r="N67" s="650"/>
      <c r="O67" s="578"/>
      <c r="P67" s="578"/>
      <c r="Q67" s="578"/>
      <c r="R67" s="578"/>
      <c r="S67" s="650"/>
      <c r="T67" s="578"/>
      <c r="U67" s="495"/>
      <c r="V67" s="172">
        <f>AVERAGE(V66:V66)</f>
        <v>3.9837766914181985</v>
      </c>
      <c r="W67" s="495"/>
      <c r="X67" s="468"/>
      <c r="Y67" s="494"/>
      <c r="Z67" s="172">
        <f>AVERAGE(Z66:Z66)</f>
        <v>44.083563924050637</v>
      </c>
      <c r="AA67" s="469"/>
    </row>
    <row r="68" spans="1:31" s="214" customFormat="1" ht="30" customHeight="1" x14ac:dyDescent="0.25">
      <c r="A68" s="789" t="s">
        <v>135</v>
      </c>
      <c r="B68" s="790"/>
      <c r="C68" s="790"/>
      <c r="D68" s="790"/>
      <c r="E68" s="790"/>
      <c r="F68" s="790"/>
      <c r="G68" s="790"/>
      <c r="H68" s="790"/>
      <c r="I68" s="790"/>
      <c r="J68" s="791"/>
      <c r="K68" s="650"/>
      <c r="L68" s="578"/>
      <c r="M68" s="578"/>
      <c r="N68" s="650"/>
      <c r="O68" s="578"/>
      <c r="P68" s="578"/>
      <c r="Q68" s="578"/>
      <c r="R68" s="578"/>
      <c r="S68" s="650"/>
      <c r="T68" s="578"/>
      <c r="U68" s="495"/>
      <c r="V68" s="87" t="str">
        <f>IF(V63&lt;=50,"Sangat Rendah",IF(V63&lt;=65,"Rendah",IF(V63&lt;=75,"Sedang",IF(V63&lt;=90,"Tinggi",IF(V63&lt;=100,"Sangat Tinggi","Salah")))))</f>
        <v>Sangat Rendah</v>
      </c>
      <c r="W68" s="495"/>
      <c r="X68" s="468"/>
      <c r="Y68" s="494"/>
      <c r="Z68" s="87" t="str">
        <f>IF(Z63&lt;=50,"Sangat Rendah",IF(Z63&lt;=65,"Rendah",IF(Z63&lt;=75,"Sedang",IF(Z63&lt;=90,"Tinggi",IF(Z63&lt;=100,"Sangat Tinggi","Salah")))))</f>
        <v>Rendah</v>
      </c>
      <c r="AA68" s="469"/>
      <c r="AE68" s="471"/>
    </row>
    <row r="69" spans="1:31" s="214" customFormat="1" ht="32.25" customHeight="1" x14ac:dyDescent="0.25">
      <c r="A69" s="587" t="s">
        <v>435</v>
      </c>
      <c r="B69" s="801"/>
      <c r="C69" s="626" t="s">
        <v>330</v>
      </c>
      <c r="D69" s="621"/>
      <c r="E69" s="581"/>
      <c r="F69" s="565">
        <f>SUM(F70:F70)</f>
        <v>0</v>
      </c>
      <c r="G69" s="564"/>
      <c r="H69" s="564">
        <v>14641000</v>
      </c>
      <c r="I69" s="511"/>
      <c r="J69" s="565">
        <f>SUM(J70:J70)</f>
        <v>17317660</v>
      </c>
      <c r="K69" s="523"/>
      <c r="L69" s="564">
        <f>SUM(L70:L70)</f>
        <v>517500</v>
      </c>
      <c r="M69" s="523"/>
      <c r="N69" s="564">
        <f>SUM(N70:N70)</f>
        <v>0</v>
      </c>
      <c r="O69" s="519"/>
      <c r="P69" s="564"/>
      <c r="Q69" s="522"/>
      <c r="R69" s="564"/>
      <c r="S69" s="542"/>
      <c r="T69" s="564">
        <f>SUM(T70:T70)</f>
        <v>517500</v>
      </c>
      <c r="U69" s="579"/>
      <c r="V69" s="83">
        <f>T69/J69*100</f>
        <v>2.9882790169110605</v>
      </c>
      <c r="W69" s="579"/>
      <c r="X69" s="564">
        <f>T69+H69</f>
        <v>15158500</v>
      </c>
      <c r="Y69" s="580"/>
      <c r="Z69" s="547"/>
      <c r="AA69" s="525"/>
    </row>
    <row r="70" spans="1:31" s="214" customFormat="1" ht="19.5" customHeight="1" x14ac:dyDescent="0.25">
      <c r="A70" s="587"/>
      <c r="B70" s="801"/>
      <c r="C70" s="627" t="s">
        <v>432</v>
      </c>
      <c r="D70" s="627" t="s">
        <v>433</v>
      </c>
      <c r="E70" s="519" t="s">
        <v>282</v>
      </c>
      <c r="F70" s="581"/>
      <c r="G70" s="519" t="s">
        <v>282</v>
      </c>
      <c r="H70" s="542">
        <v>14641000</v>
      </c>
      <c r="I70" s="558" t="s">
        <v>282</v>
      </c>
      <c r="J70" s="543">
        <v>17317660</v>
      </c>
      <c r="K70" s="561">
        <v>0</v>
      </c>
      <c r="L70" s="544">
        <f>'[1]Apr-19(I)'!$Y$68</f>
        <v>517500</v>
      </c>
      <c r="M70" s="561">
        <v>0</v>
      </c>
      <c r="N70" s="544">
        <v>0</v>
      </c>
      <c r="O70" s="491"/>
      <c r="P70" s="544"/>
      <c r="Q70" s="519"/>
      <c r="R70" s="544"/>
      <c r="S70" s="667">
        <f>K70</f>
        <v>0</v>
      </c>
      <c r="T70" s="542">
        <f>SUM(L70,N70,P70,R70)</f>
        <v>517500</v>
      </c>
      <c r="U70" s="545">
        <v>0</v>
      </c>
      <c r="V70" s="540">
        <f>T70/J70*100</f>
        <v>2.9882790169110605</v>
      </c>
      <c r="W70" s="669" t="s">
        <v>282</v>
      </c>
      <c r="X70" s="546">
        <f>H70+T70</f>
        <v>15158500</v>
      </c>
      <c r="Y70" s="672">
        <f>1/1</f>
        <v>1</v>
      </c>
      <c r="Z70" s="547">
        <v>100</v>
      </c>
      <c r="AA70" s="525" t="s">
        <v>31</v>
      </c>
    </row>
    <row r="71" spans="1:31" s="214" customFormat="1" ht="14.25" customHeight="1" x14ac:dyDescent="0.25">
      <c r="A71" s="789" t="s">
        <v>134</v>
      </c>
      <c r="B71" s="790"/>
      <c r="C71" s="790"/>
      <c r="D71" s="790"/>
      <c r="E71" s="790"/>
      <c r="F71" s="790"/>
      <c r="G71" s="790"/>
      <c r="H71" s="790"/>
      <c r="I71" s="790"/>
      <c r="J71" s="791"/>
      <c r="K71" s="650"/>
      <c r="L71" s="578"/>
      <c r="M71" s="578"/>
      <c r="N71" s="650"/>
      <c r="O71" s="578"/>
      <c r="P71" s="578"/>
      <c r="Q71" s="578"/>
      <c r="R71" s="578"/>
      <c r="S71" s="650"/>
      <c r="T71" s="578"/>
      <c r="U71" s="495"/>
      <c r="V71" s="83">
        <f>AVERAGE(V70:V70)</f>
        <v>2.9882790169110605</v>
      </c>
      <c r="W71" s="495"/>
      <c r="X71" s="468"/>
      <c r="Y71" s="494"/>
      <c r="Z71" s="172">
        <f>AVERAGE(Z70:Z70)</f>
        <v>100</v>
      </c>
      <c r="AA71" s="469"/>
    </row>
    <row r="72" spans="1:31" s="214" customFormat="1" ht="30" customHeight="1" x14ac:dyDescent="0.25">
      <c r="A72" s="798" t="s">
        <v>135</v>
      </c>
      <c r="B72" s="799"/>
      <c r="C72" s="799"/>
      <c r="D72" s="799"/>
      <c r="E72" s="799"/>
      <c r="F72" s="799"/>
      <c r="G72" s="799"/>
      <c r="H72" s="799"/>
      <c r="I72" s="799"/>
      <c r="J72" s="800"/>
      <c r="K72" s="650"/>
      <c r="L72" s="578"/>
      <c r="M72" s="578"/>
      <c r="N72" s="650"/>
      <c r="O72" s="578"/>
      <c r="P72" s="578"/>
      <c r="Q72" s="578"/>
      <c r="R72" s="578"/>
      <c r="S72" s="650"/>
      <c r="T72" s="578"/>
      <c r="U72" s="495"/>
      <c r="V72" s="87" t="str">
        <f>IF(V67&lt;=50,"Sangat Rendah",IF(V67&lt;=65,"Rendah",IF(V67&lt;=75,"Sedang",IF(V67&lt;=90,"Tinggi",IF(V67&lt;=100,"Sangat Tinggi","Salah")))))</f>
        <v>Sangat Rendah</v>
      </c>
      <c r="W72" s="495"/>
      <c r="X72" s="655"/>
      <c r="Y72" s="494"/>
      <c r="Z72" s="87" t="str">
        <f>IF(Z71&lt;=50,"Sangat Rendah",IF(Z71&lt;=65,"Rendah",IF(Z71&lt;=75,"Sedang",IF(Z71&lt;=90,"Tinggi",IF(Z71&lt;=100,"Sangat Tinggi","Salah")))))</f>
        <v>Sangat Tinggi</v>
      </c>
      <c r="AA72" s="469"/>
      <c r="AE72" s="471"/>
    </row>
    <row r="73" spans="1:31" s="214" customFormat="1" ht="18" customHeight="1" x14ac:dyDescent="0.25">
      <c r="A73" s="600" t="s">
        <v>145</v>
      </c>
      <c r="B73" s="588"/>
      <c r="C73" s="588"/>
      <c r="D73" s="588"/>
      <c r="E73" s="588"/>
      <c r="F73" s="588"/>
      <c r="G73" s="588"/>
      <c r="H73" s="588"/>
      <c r="I73" s="588"/>
      <c r="J73" s="585">
        <f>SUM(J15,J25,J32,J36,J51,J55,J65,J69)</f>
        <v>16203687590</v>
      </c>
      <c r="K73" s="493"/>
      <c r="L73" s="585">
        <f>SUM(L15,L25,L32,L36,L51,L55,L65,L69)</f>
        <v>292607428</v>
      </c>
      <c r="M73" s="153"/>
      <c r="N73" s="665"/>
      <c r="O73" s="153"/>
      <c r="P73" s="586"/>
      <c r="Q73" s="502"/>
      <c r="R73" s="586"/>
      <c r="S73" s="493"/>
      <c r="T73" s="585">
        <f>SUM(T15,T25,T32,T36,T51,T55,T65,T69)</f>
        <v>1232565881</v>
      </c>
      <c r="U73" s="493"/>
      <c r="V73" s="153"/>
      <c r="W73" s="493"/>
      <c r="X73" s="493"/>
      <c r="Y73" s="493"/>
      <c r="Z73" s="153"/>
      <c r="AA73" s="472"/>
    </row>
    <row r="74" spans="1:31" s="214" customFormat="1" ht="34.5" customHeight="1" x14ac:dyDescent="0.25">
      <c r="A74" s="783" t="s">
        <v>438</v>
      </c>
      <c r="B74" s="784"/>
      <c r="C74" s="784"/>
      <c r="D74" s="784"/>
      <c r="E74" s="784"/>
      <c r="F74" s="784"/>
      <c r="G74" s="784"/>
      <c r="H74" s="784"/>
      <c r="I74" s="784"/>
      <c r="J74" s="785"/>
      <c r="K74" s="652"/>
      <c r="L74" s="589"/>
      <c r="M74" s="589"/>
      <c r="N74" s="652"/>
      <c r="O74" s="589"/>
      <c r="P74" s="589"/>
      <c r="Q74" s="589"/>
      <c r="R74" s="589"/>
      <c r="S74" s="652"/>
      <c r="T74" s="589"/>
      <c r="U74" s="496"/>
      <c r="V74" s="172">
        <f>AVERAGE(V23,V30,V34,V49,V53,V63,V67,V71)</f>
        <v>16.128950742242267</v>
      </c>
      <c r="W74" s="493"/>
      <c r="X74" s="493"/>
      <c r="Y74" s="493"/>
      <c r="Z74" s="172">
        <f>AVERAGE(Z23,Z30,Z34,Z49,Z53,Z63,Z67,Z71)</f>
        <v>115.02484997126321</v>
      </c>
      <c r="AA74" s="472"/>
    </row>
    <row r="75" spans="1:31" s="214" customFormat="1" ht="36.75" customHeight="1" x14ac:dyDescent="0.25">
      <c r="A75" s="783" t="s">
        <v>439</v>
      </c>
      <c r="B75" s="784"/>
      <c r="C75" s="784"/>
      <c r="D75" s="784"/>
      <c r="E75" s="784"/>
      <c r="F75" s="784"/>
      <c r="G75" s="784"/>
      <c r="H75" s="784"/>
      <c r="I75" s="784"/>
      <c r="J75" s="785"/>
      <c r="K75" s="652"/>
      <c r="L75" s="589"/>
      <c r="M75" s="589"/>
      <c r="N75" s="652"/>
      <c r="O75" s="589"/>
      <c r="P75" s="589"/>
      <c r="Q75" s="589"/>
      <c r="R75" s="589"/>
      <c r="S75" s="652"/>
      <c r="T75" s="589"/>
      <c r="U75" s="493"/>
      <c r="V75" s="87" t="str">
        <f>IF(V74&lt;=50,"Sangat Rendah",IF(V74&lt;=65,"Rendah",IF(V74&lt;=75,"Sedang",IF(V74&lt;=90,"Tinggi",IF(V74&lt;=100,"Sangat Tinggi","Salah")))))</f>
        <v>Sangat Rendah</v>
      </c>
      <c r="W75" s="493"/>
      <c r="X75" s="493"/>
      <c r="Y75" s="493"/>
      <c r="Z75" s="87" t="str">
        <f>IF(Z74&lt;=50,"Sangat Rendah",IF(Z74&lt;=65,"Rendah",IF(Z74&lt;=75,"Sedang",IF(Z74&lt;=90,"Tinggi",IF(Z74&lt;=100,"Sangat Tinggi","Salah")))))</f>
        <v>Salah</v>
      </c>
      <c r="AA75" s="472"/>
    </row>
    <row r="76" spans="1:31" s="214" customFormat="1" ht="24.75" customHeight="1" x14ac:dyDescent="0.25">
      <c r="A76" s="793" t="s">
        <v>34</v>
      </c>
      <c r="B76" s="794"/>
      <c r="C76" s="795"/>
      <c r="D76" s="786" t="s">
        <v>407</v>
      </c>
      <c r="E76" s="787"/>
      <c r="F76" s="787"/>
      <c r="G76" s="787"/>
      <c r="H76" s="787"/>
      <c r="I76" s="787"/>
      <c r="J76" s="788"/>
      <c r="K76" s="653"/>
      <c r="L76" s="590"/>
      <c r="M76" s="590"/>
      <c r="N76" s="653"/>
      <c r="O76" s="590"/>
      <c r="P76" s="590"/>
      <c r="Q76" s="590"/>
      <c r="R76" s="590"/>
      <c r="S76" s="653"/>
      <c r="T76" s="590"/>
      <c r="U76" s="590"/>
      <c r="V76" s="590"/>
      <c r="W76" s="653"/>
      <c r="X76" s="653"/>
      <c r="Y76" s="653"/>
      <c r="Z76" s="590"/>
      <c r="AA76" s="590"/>
    </row>
    <row r="77" spans="1:31" s="214" customFormat="1" ht="24.75" customHeight="1" x14ac:dyDescent="0.25">
      <c r="A77" s="793" t="s">
        <v>35</v>
      </c>
      <c r="B77" s="794"/>
      <c r="C77" s="795"/>
      <c r="D77" s="786" t="s">
        <v>408</v>
      </c>
      <c r="E77" s="787"/>
      <c r="F77" s="787"/>
      <c r="G77" s="787"/>
      <c r="H77" s="787"/>
      <c r="I77" s="787"/>
      <c r="J77" s="788"/>
      <c r="K77" s="653"/>
      <c r="L77" s="590"/>
      <c r="M77" s="590"/>
      <c r="N77" s="653"/>
      <c r="O77" s="590"/>
      <c r="P77" s="590"/>
      <c r="Q77" s="590"/>
      <c r="R77" s="590"/>
      <c r="S77" s="653"/>
      <c r="T77" s="590"/>
      <c r="U77" s="590"/>
      <c r="V77" s="590"/>
      <c r="W77" s="653"/>
      <c r="X77" s="653"/>
      <c r="Y77" s="653"/>
      <c r="Z77" s="590"/>
      <c r="AA77" s="590"/>
    </row>
    <row r="78" spans="1:31" s="214" customFormat="1" ht="25.5" customHeight="1" x14ac:dyDescent="0.25">
      <c r="A78" s="793" t="s">
        <v>36</v>
      </c>
      <c r="B78" s="794"/>
      <c r="C78" s="795"/>
      <c r="D78" s="786" t="s">
        <v>409</v>
      </c>
      <c r="E78" s="787"/>
      <c r="F78" s="787"/>
      <c r="G78" s="787"/>
      <c r="H78" s="787"/>
      <c r="I78" s="787"/>
      <c r="J78" s="788"/>
      <c r="K78" s="653"/>
      <c r="L78" s="590"/>
      <c r="M78" s="590"/>
      <c r="N78" s="653"/>
      <c r="O78" s="590"/>
      <c r="P78" s="590"/>
      <c r="Q78" s="590"/>
      <c r="R78" s="590"/>
      <c r="S78" s="653"/>
      <c r="T78" s="590"/>
      <c r="U78" s="590"/>
      <c r="V78" s="590"/>
      <c r="W78" s="653"/>
      <c r="X78" s="653"/>
      <c r="Y78" s="653"/>
      <c r="Z78" s="590"/>
      <c r="AA78" s="590"/>
    </row>
    <row r="79" spans="1:31" ht="25.5" customHeight="1" x14ac:dyDescent="0.25">
      <c r="A79" s="793" t="s">
        <v>37</v>
      </c>
      <c r="B79" s="794"/>
      <c r="C79" s="795"/>
      <c r="D79" s="786" t="s">
        <v>410</v>
      </c>
      <c r="E79" s="787"/>
      <c r="F79" s="787"/>
      <c r="G79" s="787"/>
      <c r="H79" s="787"/>
      <c r="I79" s="787"/>
      <c r="J79" s="788"/>
      <c r="K79" s="653"/>
      <c r="L79" s="590"/>
      <c r="M79" s="590"/>
      <c r="N79" s="653"/>
      <c r="O79" s="590"/>
      <c r="P79" s="590"/>
      <c r="Q79" s="590"/>
      <c r="R79" s="590"/>
      <c r="S79" s="653"/>
      <c r="T79" s="590"/>
      <c r="U79" s="590"/>
      <c r="V79" s="590"/>
      <c r="W79" s="653"/>
      <c r="X79" s="653"/>
      <c r="Y79" s="653"/>
      <c r="Z79" s="590"/>
      <c r="AA79" s="590"/>
    </row>
    <row r="80" spans="1:31" ht="13.5" x14ac:dyDescent="0.25">
      <c r="F80" s="628" t="s">
        <v>10</v>
      </c>
      <c r="G80" s="629"/>
      <c r="H80" s="629"/>
      <c r="I80" s="630"/>
      <c r="J80" s="631"/>
      <c r="K80" s="635"/>
      <c r="L80" s="632"/>
      <c r="M80" s="629"/>
      <c r="N80" s="656"/>
      <c r="O80" s="629"/>
      <c r="P80" s="629"/>
      <c r="Q80" s="634"/>
      <c r="R80" s="633"/>
      <c r="S80" s="635"/>
      <c r="T80" s="629"/>
      <c r="U80" s="635"/>
      <c r="V80" s="629"/>
      <c r="W80" s="829"/>
      <c r="X80" s="829"/>
      <c r="Y80" s="635"/>
    </row>
    <row r="81" spans="6:25" ht="12.75" customHeight="1" x14ac:dyDescent="0.25">
      <c r="F81" s="825" t="s">
        <v>534</v>
      </c>
      <c r="G81" s="825"/>
      <c r="H81" s="825"/>
      <c r="I81" s="630"/>
      <c r="J81" s="631"/>
      <c r="K81" s="635"/>
      <c r="L81" s="632"/>
      <c r="M81" s="629"/>
      <c r="N81" s="656"/>
      <c r="O81" s="629"/>
      <c r="P81" s="629"/>
      <c r="Q81" s="634"/>
      <c r="R81" s="633"/>
      <c r="S81" s="635"/>
      <c r="T81" s="629"/>
      <c r="U81" s="635"/>
      <c r="V81" s="826" t="s">
        <v>414</v>
      </c>
      <c r="W81" s="826"/>
      <c r="X81" s="826"/>
      <c r="Y81" s="826"/>
    </row>
    <row r="82" spans="6:25" ht="13.5" x14ac:dyDescent="0.25">
      <c r="F82" s="825"/>
      <c r="G82" s="825"/>
      <c r="H82" s="825"/>
      <c r="I82" s="630"/>
      <c r="J82" s="637"/>
      <c r="K82" s="635"/>
      <c r="L82" s="632"/>
      <c r="M82" s="629"/>
      <c r="N82" s="656"/>
      <c r="O82" s="629"/>
      <c r="P82" s="629"/>
      <c r="Q82" s="634"/>
      <c r="R82" s="633"/>
      <c r="S82" s="635"/>
      <c r="T82" s="629"/>
      <c r="U82" s="635"/>
      <c r="V82" s="826" t="s">
        <v>405</v>
      </c>
      <c r="W82" s="826"/>
      <c r="X82" s="826"/>
      <c r="Y82" s="826"/>
    </row>
    <row r="83" spans="6:25" ht="11.25" customHeight="1" x14ac:dyDescent="0.25">
      <c r="F83" s="825"/>
      <c r="G83" s="825"/>
      <c r="H83" s="825"/>
      <c r="I83" s="630"/>
      <c r="J83" s="631"/>
      <c r="K83" s="635"/>
      <c r="L83" s="632"/>
      <c r="M83" s="629"/>
      <c r="N83" s="656"/>
      <c r="O83" s="629"/>
      <c r="P83" s="629"/>
      <c r="Q83" s="634"/>
      <c r="R83" s="633"/>
      <c r="S83" s="635"/>
      <c r="T83" s="629"/>
      <c r="U83" s="635"/>
      <c r="V83" s="826" t="s">
        <v>12</v>
      </c>
      <c r="W83" s="826"/>
      <c r="X83" s="826"/>
      <c r="Y83" s="826"/>
    </row>
    <row r="84" spans="6:25" ht="6" customHeight="1" x14ac:dyDescent="0.25">
      <c r="F84" s="825"/>
      <c r="G84" s="825"/>
      <c r="H84" s="825"/>
      <c r="I84" s="630"/>
      <c r="J84" s="631"/>
      <c r="K84" s="635"/>
      <c r="L84" s="632"/>
      <c r="M84" s="629"/>
      <c r="N84" s="656"/>
      <c r="O84" s="629"/>
      <c r="P84" s="629"/>
      <c r="Q84" s="634"/>
      <c r="R84" s="633"/>
      <c r="S84" s="635"/>
      <c r="T84" s="629"/>
      <c r="U84" s="635"/>
      <c r="V84" s="826"/>
      <c r="W84" s="826"/>
      <c r="X84" s="826"/>
      <c r="Y84" s="826"/>
    </row>
    <row r="85" spans="6:25" ht="18" customHeight="1" x14ac:dyDescent="0.25">
      <c r="F85" s="636"/>
      <c r="G85" s="629"/>
      <c r="H85" s="629"/>
      <c r="I85" s="630"/>
      <c r="J85" s="631"/>
      <c r="K85" s="635"/>
      <c r="L85" s="632"/>
      <c r="M85" s="629"/>
      <c r="N85" s="656"/>
      <c r="O85" s="629"/>
      <c r="P85" s="629"/>
      <c r="Q85" s="634"/>
      <c r="R85" s="633"/>
      <c r="S85" s="635"/>
      <c r="T85" s="629"/>
      <c r="U85" s="635"/>
      <c r="V85" s="629"/>
      <c r="W85" s="635"/>
      <c r="X85" s="656"/>
      <c r="Y85" s="635"/>
    </row>
    <row r="86" spans="6:25" ht="15" customHeight="1" x14ac:dyDescent="0.25">
      <c r="F86" s="636"/>
      <c r="G86" s="629"/>
      <c r="H86" s="629"/>
      <c r="I86" s="630"/>
      <c r="J86" s="638"/>
      <c r="K86" s="654"/>
      <c r="L86" s="632"/>
      <c r="M86" s="629"/>
      <c r="N86" s="656"/>
      <c r="O86" s="629"/>
      <c r="P86" s="629"/>
      <c r="Q86" s="634"/>
      <c r="R86" s="633"/>
      <c r="S86" s="635"/>
      <c r="T86" s="629"/>
      <c r="U86" s="635"/>
      <c r="V86" s="827" t="s">
        <v>411</v>
      </c>
      <c r="W86" s="827"/>
      <c r="X86" s="827"/>
      <c r="Y86" s="827"/>
    </row>
    <row r="87" spans="6:25" ht="12.75" customHeight="1" x14ac:dyDescent="0.25">
      <c r="F87" s="828"/>
      <c r="G87" s="828"/>
      <c r="H87" s="828"/>
      <c r="I87" s="630"/>
      <c r="J87" s="638"/>
      <c r="K87" s="635"/>
      <c r="L87" s="632"/>
      <c r="M87" s="629"/>
      <c r="N87" s="656"/>
      <c r="O87" s="629"/>
      <c r="P87" s="629"/>
      <c r="Q87" s="634"/>
      <c r="R87" s="633"/>
      <c r="S87" s="635"/>
      <c r="T87" s="629"/>
      <c r="U87" s="635"/>
      <c r="V87" s="826" t="s">
        <v>501</v>
      </c>
      <c r="W87" s="826"/>
      <c r="X87" s="826"/>
      <c r="Y87" s="826"/>
    </row>
    <row r="88" spans="6:25" ht="12.75" customHeight="1" x14ac:dyDescent="0.25">
      <c r="F88" s="825"/>
      <c r="G88" s="825"/>
      <c r="H88" s="825"/>
      <c r="I88" s="630"/>
      <c r="J88" s="631"/>
      <c r="K88" s="635"/>
      <c r="L88" s="632"/>
      <c r="M88" s="629"/>
      <c r="N88" s="656"/>
      <c r="O88" s="629"/>
      <c r="P88" s="629"/>
      <c r="Q88" s="634"/>
      <c r="R88" s="633"/>
      <c r="S88" s="635"/>
      <c r="T88" s="629"/>
      <c r="U88" s="635"/>
      <c r="V88" s="826" t="s">
        <v>415</v>
      </c>
      <c r="W88" s="826"/>
      <c r="X88" s="826"/>
      <c r="Y88" s="826"/>
    </row>
    <row r="89" spans="6:25" ht="12.75" customHeight="1" x14ac:dyDescent="0.25">
      <c r="F89" s="825"/>
      <c r="G89" s="825"/>
      <c r="H89" s="825"/>
      <c r="I89" s="630"/>
      <c r="J89" s="637"/>
      <c r="K89" s="635"/>
      <c r="L89" s="632"/>
      <c r="M89" s="629"/>
      <c r="N89" s="656"/>
      <c r="O89" s="629"/>
      <c r="P89" s="629"/>
      <c r="Q89" s="634"/>
      <c r="R89" s="633"/>
      <c r="S89" s="635"/>
      <c r="T89" s="629"/>
      <c r="U89" s="635"/>
      <c r="V89" s="826"/>
      <c r="W89" s="826"/>
      <c r="X89" s="826"/>
      <c r="Y89" s="826"/>
    </row>
    <row r="91" spans="6:25" x14ac:dyDescent="0.25">
      <c r="J91" s="434"/>
    </row>
    <row r="92" spans="6:25" x14ac:dyDescent="0.25">
      <c r="F92" s="474"/>
    </row>
  </sheetData>
  <mergeCells count="85">
    <mergeCell ref="A77:C77"/>
    <mergeCell ref="A78:C78"/>
    <mergeCell ref="A79:C79"/>
    <mergeCell ref="V81:Y81"/>
    <mergeCell ref="W80:X80"/>
    <mergeCell ref="D78:J78"/>
    <mergeCell ref="D77:J77"/>
    <mergeCell ref="A11:A12"/>
    <mergeCell ref="F89:H89"/>
    <mergeCell ref="V89:Y89"/>
    <mergeCell ref="F82:H82"/>
    <mergeCell ref="V82:Y82"/>
    <mergeCell ref="F83:H83"/>
    <mergeCell ref="V83:Y83"/>
    <mergeCell ref="F84:H84"/>
    <mergeCell ref="V84:Y84"/>
    <mergeCell ref="V86:Y86"/>
    <mergeCell ref="F87:H87"/>
    <mergeCell ref="V87:Y87"/>
    <mergeCell ref="F88:H88"/>
    <mergeCell ref="D79:J79"/>
    <mergeCell ref="V88:Y88"/>
    <mergeCell ref="F81:H81"/>
    <mergeCell ref="B15:B22"/>
    <mergeCell ref="B25:B29"/>
    <mergeCell ref="B36:B48"/>
    <mergeCell ref="B51:B52"/>
    <mergeCell ref="B55:B62"/>
    <mergeCell ref="B32:B33"/>
    <mergeCell ref="A50:J50"/>
    <mergeCell ref="A53:J53"/>
    <mergeCell ref="A54:J54"/>
    <mergeCell ref="A1:AA1"/>
    <mergeCell ref="A2:AA2"/>
    <mergeCell ref="A3:AA3"/>
    <mergeCell ref="A8:A10"/>
    <mergeCell ref="C8:C10"/>
    <mergeCell ref="D8:D10"/>
    <mergeCell ref="E8:F10"/>
    <mergeCell ref="G8:H10"/>
    <mergeCell ref="I8:J10"/>
    <mergeCell ref="K8:R8"/>
    <mergeCell ref="S8:T10"/>
    <mergeCell ref="U8:V10"/>
    <mergeCell ref="Y8:Z10"/>
    <mergeCell ref="AA8:AA10"/>
    <mergeCell ref="Q9:R10"/>
    <mergeCell ref="C11:C12"/>
    <mergeCell ref="D11:D12"/>
    <mergeCell ref="E11:F11"/>
    <mergeCell ref="K9:L10"/>
    <mergeCell ref="W8:X10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M9:N10"/>
    <mergeCell ref="O9:P10"/>
    <mergeCell ref="Y11:Z11"/>
    <mergeCell ref="AA11:AA12"/>
    <mergeCell ref="A71:J71"/>
    <mergeCell ref="A72:J72"/>
    <mergeCell ref="A74:J74"/>
    <mergeCell ref="A23:T23"/>
    <mergeCell ref="A24:T24"/>
    <mergeCell ref="A30:T30"/>
    <mergeCell ref="A31:T31"/>
    <mergeCell ref="B65:B66"/>
    <mergeCell ref="B69:B70"/>
    <mergeCell ref="B11:B12"/>
    <mergeCell ref="A63:J63"/>
    <mergeCell ref="A64:J64"/>
    <mergeCell ref="A67:J67"/>
    <mergeCell ref="A68:J68"/>
    <mergeCell ref="A75:J75"/>
    <mergeCell ref="D76:J76"/>
    <mergeCell ref="A49:J49"/>
    <mergeCell ref="A34:T34"/>
    <mergeCell ref="A35:T35"/>
    <mergeCell ref="A76:C76"/>
  </mergeCells>
  <pageMargins left="0.39370078740157483" right="0" top="0.86614173228346458" bottom="0.70866141732283472" header="0.23622047244094491" footer="0.27559055118110237"/>
  <pageSetup paperSize="5" scale="55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8"/>
  <sheetViews>
    <sheetView tabSelected="1" view="pageBreakPreview" topLeftCell="D4" zoomScaleSheetLayoutView="100" workbookViewId="0">
      <selection activeCell="D31" sqref="D31"/>
    </sheetView>
  </sheetViews>
  <sheetFormatPr defaultRowHeight="15" x14ac:dyDescent="0.3"/>
  <cols>
    <col min="1" max="2" width="3.7109375" style="158" customWidth="1"/>
    <col min="3" max="3" width="4.42578125" style="158" customWidth="1"/>
    <col min="4" max="4" width="54" style="475" customWidth="1"/>
    <col min="5" max="5" width="8.140625" style="158" bestFit="1" customWidth="1"/>
    <col min="6" max="6" width="16.5703125" style="158" customWidth="1"/>
    <col min="7" max="7" width="15.85546875" style="158" bestFit="1" customWidth="1"/>
    <col min="8" max="8" width="17.28515625" style="484" customWidth="1"/>
    <col min="9" max="9" width="16" style="158" bestFit="1" customWidth="1"/>
    <col min="10" max="10" width="10.85546875" style="158" customWidth="1"/>
    <col min="11" max="11" width="16.7109375" style="158" customWidth="1"/>
    <col min="12" max="12" width="9.140625" style="158"/>
    <col min="13" max="13" width="18.28515625" style="158" customWidth="1"/>
    <col min="14" max="16384" width="9.140625" style="158"/>
  </cols>
  <sheetData>
    <row r="1" spans="1:11" s="480" customFormat="1" ht="57" customHeight="1" x14ac:dyDescent="0.25">
      <c r="A1" s="847" t="s">
        <v>404</v>
      </c>
      <c r="B1" s="847"/>
      <c r="C1" s="847"/>
      <c r="D1" s="847"/>
      <c r="E1" s="847"/>
      <c r="F1" s="847"/>
      <c r="G1" s="847"/>
      <c r="H1" s="847"/>
      <c r="I1" s="847"/>
      <c r="J1" s="847"/>
      <c r="K1" s="847"/>
    </row>
    <row r="2" spans="1:11" s="480" customFormat="1" ht="18" x14ac:dyDescent="0.25">
      <c r="D2" s="481"/>
      <c r="H2" s="483"/>
    </row>
    <row r="4" spans="1:11" x14ac:dyDescent="0.3">
      <c r="A4" s="188" t="s">
        <v>172</v>
      </c>
    </row>
    <row r="5" spans="1:11" ht="7.5" customHeight="1" x14ac:dyDescent="0.3"/>
    <row r="6" spans="1:11" x14ac:dyDescent="0.3">
      <c r="A6" s="833" t="s">
        <v>167</v>
      </c>
      <c r="B6" s="833"/>
      <c r="C6" s="833"/>
      <c r="D6" s="833"/>
      <c r="E6" s="833"/>
      <c r="F6" s="833"/>
      <c r="G6" s="833"/>
      <c r="H6" s="833"/>
      <c r="I6" s="833"/>
      <c r="J6" s="833"/>
      <c r="K6" s="833"/>
    </row>
    <row r="7" spans="1:11" x14ac:dyDescent="0.3">
      <c r="A7" s="833" t="s">
        <v>502</v>
      </c>
      <c r="B7" s="833"/>
      <c r="C7" s="833"/>
      <c r="D7" s="833"/>
      <c r="E7" s="833"/>
      <c r="F7" s="833"/>
      <c r="G7" s="833"/>
      <c r="H7" s="833"/>
      <c r="I7" s="833"/>
      <c r="J7" s="833"/>
      <c r="K7" s="833"/>
    </row>
    <row r="8" spans="1:11" ht="6" customHeight="1" x14ac:dyDescent="0.3"/>
    <row r="9" spans="1:11" s="159" customFormat="1" ht="33.75" customHeight="1" x14ac:dyDescent="0.25">
      <c r="A9" s="834" t="s">
        <v>158</v>
      </c>
      <c r="B9" s="834"/>
      <c r="C9" s="834"/>
      <c r="D9" s="835" t="s">
        <v>159</v>
      </c>
      <c r="E9" s="834" t="s">
        <v>160</v>
      </c>
      <c r="F9" s="834"/>
      <c r="G9" s="835" t="s">
        <v>503</v>
      </c>
      <c r="H9" s="836" t="s">
        <v>535</v>
      </c>
      <c r="I9" s="837" t="s">
        <v>536</v>
      </c>
      <c r="J9" s="838"/>
      <c r="K9" s="839"/>
    </row>
    <row r="10" spans="1:11" ht="33.75" customHeight="1" x14ac:dyDescent="0.3">
      <c r="A10" s="834"/>
      <c r="B10" s="834"/>
      <c r="C10" s="834"/>
      <c r="D10" s="835"/>
      <c r="E10" s="160" t="s">
        <v>161</v>
      </c>
      <c r="F10" s="161" t="s">
        <v>162</v>
      </c>
      <c r="G10" s="835"/>
      <c r="H10" s="836"/>
      <c r="I10" s="160" t="s">
        <v>163</v>
      </c>
      <c r="J10" s="160" t="s">
        <v>161</v>
      </c>
      <c r="K10" s="161" t="s">
        <v>162</v>
      </c>
    </row>
    <row r="11" spans="1:11" x14ac:dyDescent="0.3">
      <c r="A11" s="850">
        <v>1</v>
      </c>
      <c r="B11" s="850"/>
      <c r="C11" s="850"/>
      <c r="D11" s="476">
        <v>2</v>
      </c>
      <c r="E11" s="162">
        <v>3</v>
      </c>
      <c r="F11" s="162">
        <v>4</v>
      </c>
      <c r="G11" s="162">
        <v>5</v>
      </c>
      <c r="H11" s="485">
        <v>6</v>
      </c>
      <c r="I11" s="162">
        <v>7</v>
      </c>
      <c r="J11" s="162" t="s">
        <v>164</v>
      </c>
      <c r="K11" s="162">
        <v>9</v>
      </c>
    </row>
    <row r="12" spans="1:11" x14ac:dyDescent="0.3">
      <c r="A12" s="163"/>
      <c r="B12" s="163"/>
      <c r="C12" s="163"/>
      <c r="D12" s="477" t="s">
        <v>168</v>
      </c>
      <c r="E12" s="166"/>
      <c r="F12" s="164"/>
      <c r="G12" s="165">
        <f>SUM(G13:G15)</f>
        <v>6393572780</v>
      </c>
      <c r="H12" s="486">
        <f>SUM(H13:H15)</f>
        <v>4639378220</v>
      </c>
      <c r="I12" s="486">
        <f>SUM(I13:I15)</f>
        <v>254137312</v>
      </c>
      <c r="J12" s="187">
        <f>I12/G12*100</f>
        <v>3.9748872929855037</v>
      </c>
      <c r="K12" s="167" t="str">
        <f>IF(J12&lt;=50,"Sangat Rendah",IF(J12&lt;=65,"Rendah",IF(J12&lt;=75,"Sedang",IF(J12&lt;=90,"Tinggi",IF(J12&lt;=100,"Sangat Tinggi","Salah")))))</f>
        <v>Sangat Rendah</v>
      </c>
    </row>
    <row r="13" spans="1:11" x14ac:dyDescent="0.3">
      <c r="A13" s="507" t="s">
        <v>55</v>
      </c>
      <c r="B13" s="507" t="s">
        <v>54</v>
      </c>
      <c r="C13" s="507" t="s">
        <v>54</v>
      </c>
      <c r="D13" s="478" t="s">
        <v>8</v>
      </c>
      <c r="E13" s="168">
        <f>'EVALUASI RENJA TW 2 2019'!V15</f>
        <v>41.498483419596333</v>
      </c>
      <c r="F13" s="167" t="str">
        <f>IF(E13&lt;=50,"Sangat Rendah",IF(E13&lt;=65,"Rendah",IF(E13&lt;=75,"Sedang",IF(E13&lt;=90,"Tinggi",IF(E13&lt;=100,"Sangat Tinggi","Salah")))))</f>
        <v>Sangat Rendah</v>
      </c>
      <c r="G13" s="603">
        <f>'EVALUASI RENJA TW 2 2019'!J15</f>
        <v>391054110</v>
      </c>
      <c r="H13" s="603">
        <f>'[2]Juli-19'!$V$20</f>
        <v>214607300</v>
      </c>
      <c r="I13" s="169">
        <f>'[2]Juli-19'!$Z$20</f>
        <v>162281525</v>
      </c>
      <c r="J13" s="186">
        <f>I13/G13*100</f>
        <v>41.498483419596333</v>
      </c>
      <c r="K13" s="167" t="str">
        <f>IF(J13&lt;=50,"Sangat Rendah",IF(J13&lt;=65,"Rendah",IF(J13&lt;=75,"Sedang",IF(J13&lt;=90,"Tinggi",IF(J13&lt;=100,"Sangat Tinggi","Salah")))))</f>
        <v>Sangat Rendah</v>
      </c>
    </row>
    <row r="14" spans="1:11" x14ac:dyDescent="0.3">
      <c r="A14" s="507" t="s">
        <v>55</v>
      </c>
      <c r="B14" s="507" t="s">
        <v>54</v>
      </c>
      <c r="C14" s="507" t="s">
        <v>56</v>
      </c>
      <c r="D14" s="478" t="s">
        <v>19</v>
      </c>
      <c r="E14" s="168">
        <f>'EVALUASI RENJA TW 2 2019'!V25</f>
        <v>1.4149710492147523</v>
      </c>
      <c r="F14" s="167" t="str">
        <f>IF(E14&lt;=50,"Sangat Rendah",IF(E14&lt;=65,"Rendah",IF(E14&lt;=75,"Sedang",IF(E14&lt;=90,"Tinggi",IF(E14&lt;=100,"Sangat Tinggi","Salah")))))</f>
        <v>Sangat Rendah</v>
      </c>
      <c r="G14" s="603">
        <f>'EVALUASI RENJA TW 2 2019'!J25</f>
        <v>5980533810</v>
      </c>
      <c r="H14" s="603">
        <f>'[2]Juli-19'!$V$29</f>
        <v>4415557150</v>
      </c>
      <c r="I14" s="169">
        <f>'[2]Juli-19'!$Z$29</f>
        <v>84622822</v>
      </c>
      <c r="J14" s="186">
        <f>I14/G14*100</f>
        <v>1.4149710492147523</v>
      </c>
      <c r="K14" s="167" t="str">
        <f>IF(J14&lt;=50,"Sangat Rendah",IF(J14&lt;=65,"Rendah",IF(J14&lt;=75,"Sedang",IF(J14&lt;=90,"Tinggi",IF(J14&lt;=100,"Sangat Tinggi","Salah")))))</f>
        <v>Sangat Rendah</v>
      </c>
    </row>
    <row r="15" spans="1:11" x14ac:dyDescent="0.3">
      <c r="A15" s="841" t="s">
        <v>55</v>
      </c>
      <c r="B15" s="841" t="s">
        <v>54</v>
      </c>
      <c r="C15" s="841" t="s">
        <v>72</v>
      </c>
      <c r="D15" s="840" t="s">
        <v>21</v>
      </c>
      <c r="E15" s="842">
        <f>'EVALUASI RENJA TW 2 2019'!V32</f>
        <v>32.899754649335947</v>
      </c>
      <c r="F15" s="843" t="str">
        <f>IF(E15&lt;=50,"Sangat Rendah",IF(E15&lt;=65,"Rendah",IF(E15&lt;=75,"Sedang",IF(E15&lt;=90,"Tinggi",IF(E15&lt;=100,"Sangat Tinggi","Salah")))))</f>
        <v>Sangat Rendah</v>
      </c>
      <c r="G15" s="844">
        <f>'EVALUASI RENJA TW 2 2019'!J33</f>
        <v>21984860</v>
      </c>
      <c r="H15" s="845">
        <f>'[2]Juli-19'!$V$35</f>
        <v>9213770</v>
      </c>
      <c r="I15" s="845">
        <f>'[2]Juli-19'!$Z$35</f>
        <v>7232965</v>
      </c>
      <c r="J15" s="848">
        <f>I15/G15*100</f>
        <v>32.899754649335947</v>
      </c>
      <c r="K15" s="849" t="str">
        <f>IF(J15&lt;=50,"Sangat Rendah",IF(J15&lt;=65,"Rendah",IF(J15&lt;=75,"Sedang",IF(J15&lt;=90,"Tinggi",IF(J15&lt;=100,"Sangat Tinggi","Salah")))))</f>
        <v>Sangat Rendah</v>
      </c>
    </row>
    <row r="16" spans="1:11" ht="15.75" customHeight="1" x14ac:dyDescent="0.3">
      <c r="A16" s="841"/>
      <c r="B16" s="841"/>
      <c r="C16" s="841"/>
      <c r="D16" s="840"/>
      <c r="E16" s="842"/>
      <c r="F16" s="843"/>
      <c r="G16" s="844"/>
      <c r="H16" s="846"/>
      <c r="I16" s="846"/>
      <c r="J16" s="848"/>
      <c r="K16" s="849"/>
    </row>
    <row r="17" spans="1:11" ht="7.5" customHeight="1" x14ac:dyDescent="0.3">
      <c r="A17" s="163"/>
      <c r="B17" s="163"/>
      <c r="C17" s="163"/>
      <c r="D17" s="478"/>
      <c r="E17" s="163"/>
      <c r="F17" s="163"/>
      <c r="G17" s="603"/>
      <c r="H17" s="675"/>
      <c r="I17" s="169"/>
      <c r="J17" s="170"/>
      <c r="K17" s="163"/>
    </row>
    <row r="18" spans="1:11" x14ac:dyDescent="0.3">
      <c r="A18" s="163"/>
      <c r="B18" s="163"/>
      <c r="C18" s="163"/>
      <c r="D18" s="477" t="s">
        <v>169</v>
      </c>
      <c r="E18" s="166"/>
      <c r="F18" s="164"/>
      <c r="G18" s="608">
        <f>SUM(G19:G21)</f>
        <v>9311884150</v>
      </c>
      <c r="H18" s="613">
        <f>SUM(H19:H21)</f>
        <v>5165811460</v>
      </c>
      <c r="I18" s="497">
        <f>SUM(I19:I21)</f>
        <v>958752569</v>
      </c>
      <c r="J18" s="187">
        <f>I18/G18*100</f>
        <v>10.296010491066946</v>
      </c>
      <c r="K18" s="167" t="str">
        <f>IF(J18&lt;=50,"Sangat Rendah",IF(J18&lt;=65,"Rendah",IF(J18&lt;=75,"Sedang",IF(J18&lt;=90,"Tinggi",IF(J18&lt;=100,"Sangat Tinggi","Salah")))))</f>
        <v>Sangat Rendah</v>
      </c>
    </row>
    <row r="19" spans="1:11" ht="30" x14ac:dyDescent="0.3">
      <c r="A19" s="507" t="s">
        <v>55</v>
      </c>
      <c r="B19" s="507" t="s">
        <v>54</v>
      </c>
      <c r="C19" s="507" t="s">
        <v>74</v>
      </c>
      <c r="D19" s="478" t="s">
        <v>23</v>
      </c>
      <c r="E19" s="601">
        <f>'EVALUASI RENJA TW 2 2019'!V36</f>
        <v>11.081857753884149</v>
      </c>
      <c r="F19" s="602" t="str">
        <f>IF(E19&lt;=50,"Sangat Rendah",IF(E19&lt;=65,"Rendah",IF(E19&lt;=75,"Sedang",IF(E19&lt;=90,"Tinggi",IF(E19&lt;=100,"Sangat Tinggi","Salah")))))</f>
        <v>Sangat Rendah</v>
      </c>
      <c r="G19" s="603">
        <f>'EVALUASI RENJA TW 2 2019'!J36</f>
        <v>7277700300</v>
      </c>
      <c r="H19" s="603">
        <f>'[2]Juli-19'!$V$38</f>
        <v>4114110660</v>
      </c>
      <c r="I19" s="676">
        <f>'[2]Juli-19'!$Z$38</f>
        <v>806504395</v>
      </c>
      <c r="J19" s="604">
        <f>I19/G19*100</f>
        <v>11.081857753884149</v>
      </c>
      <c r="K19" s="602" t="str">
        <f>IF(J19&lt;=50,"Sangat Rendah",IF(J19&lt;=65,"Rendah",IF(J19&lt;=75,"Sedang",IF(J19&lt;=90,"Tinggi",IF(J19&lt;=100,"Sangat Tinggi","Salah")))))</f>
        <v>Sangat Rendah</v>
      </c>
    </row>
    <row r="20" spans="1:11" ht="30" x14ac:dyDescent="0.3">
      <c r="A20" s="507" t="s">
        <v>55</v>
      </c>
      <c r="B20" s="507" t="s">
        <v>54</v>
      </c>
      <c r="C20" s="507" t="s">
        <v>124</v>
      </c>
      <c r="D20" s="478" t="s">
        <v>125</v>
      </c>
      <c r="E20" s="601">
        <f>'EVALUASI RENJA TW 2 2019'!V51</f>
        <v>2.8819999999999997</v>
      </c>
      <c r="F20" s="602" t="str">
        <f>IF(E20&lt;=50,"Sangat Rendah",IF(E20&lt;=65,"Rendah",IF(E20&lt;=75,"Sedang",IF(E20&lt;=90,"Tinggi",IF(E20&lt;=100,"Sangat Tinggi","Salah")))))</f>
        <v>Sangat Rendah</v>
      </c>
      <c r="G20" s="603">
        <f>'EVALUASI RENJA TW 2 2019'!J51</f>
        <v>125000000</v>
      </c>
      <c r="H20" s="603">
        <f>'[2]Juli-19'!$V$55</f>
        <v>89523700</v>
      </c>
      <c r="I20" s="676">
        <f>'[2]Juli-19'!$Z$55</f>
        <v>3602500</v>
      </c>
      <c r="J20" s="604">
        <f>I20/G20*100</f>
        <v>2.8819999999999997</v>
      </c>
      <c r="K20" s="602" t="str">
        <f>IF(J20&lt;=50,"Sangat Rendah",IF(J20&lt;=65,"Rendah",IF(J20&lt;=75,"Sedang",IF(J20&lt;=90,"Tinggi",IF(J20&lt;=100,"Sangat Tinggi","Salah")))))</f>
        <v>Sangat Rendah</v>
      </c>
    </row>
    <row r="21" spans="1:11" x14ac:dyDescent="0.3">
      <c r="A21" s="507" t="s">
        <v>55</v>
      </c>
      <c r="B21" s="507" t="s">
        <v>54</v>
      </c>
      <c r="C21" s="507" t="s">
        <v>60</v>
      </c>
      <c r="D21" s="478" t="s">
        <v>129</v>
      </c>
      <c r="E21" s="601">
        <f>'EVALUASI RENJA TW 2 2019'!V55</f>
        <v>7.7858229316155176</v>
      </c>
      <c r="F21" s="602" t="str">
        <f>IF(E21&lt;=50,"Sangat Rendah",IF(E21&lt;=65,"Rendah",IF(E21&lt;=75,"Sedang",IF(E21&lt;=90,"Tinggi",IF(E21&lt;=100,"Sangat Tinggi","Salah")))))</f>
        <v>Sangat Rendah</v>
      </c>
      <c r="G21" s="603">
        <f>'EVALUASI RENJA TW 2 2019'!J55</f>
        <v>1909183850</v>
      </c>
      <c r="H21" s="603">
        <f>'[2]Juli-19'!$V$58</f>
        <v>962177100</v>
      </c>
      <c r="I21" s="676">
        <f>'[2]Juli-19'!$Z$58</f>
        <v>148645674</v>
      </c>
      <c r="J21" s="604">
        <f>I21/G21*100</f>
        <v>7.7858229316155176</v>
      </c>
      <c r="K21" s="602" t="str">
        <f>IF(J21&lt;=50,"Sangat Rendah",IF(J21&lt;=65,"Rendah",IF(J21&lt;=75,"Sedang",IF(J21&lt;=90,"Tinggi",IF(J21&lt;=100,"Sangat Tinggi","Salah")))))</f>
        <v>Sangat Rendah</v>
      </c>
    </row>
    <row r="22" spans="1:11" ht="5.25" customHeight="1" x14ac:dyDescent="0.3">
      <c r="A22" s="507"/>
      <c r="B22" s="507"/>
      <c r="C22" s="507"/>
      <c r="D22" s="478"/>
      <c r="E22" s="601"/>
      <c r="F22" s="602"/>
      <c r="G22" s="603"/>
      <c r="H22" s="605"/>
      <c r="I22" s="603"/>
      <c r="J22" s="604"/>
      <c r="K22" s="602"/>
    </row>
    <row r="23" spans="1:11" x14ac:dyDescent="0.3">
      <c r="A23" s="163"/>
      <c r="B23" s="163"/>
      <c r="C23" s="163"/>
      <c r="D23" s="477" t="s">
        <v>302</v>
      </c>
      <c r="E23" s="606"/>
      <c r="F23" s="607"/>
      <c r="G23" s="608">
        <f>SUM(G24:G24)</f>
        <v>480913000</v>
      </c>
      <c r="H23" s="608">
        <f>SUM(H24:H24)</f>
        <v>92744400</v>
      </c>
      <c r="I23" s="608">
        <f>SUM(I24:I24)</f>
        <v>19158500</v>
      </c>
      <c r="J23" s="609">
        <f>I23/G23*100</f>
        <v>3.9837766914181985</v>
      </c>
      <c r="K23" s="602" t="str">
        <f>IF(J23&lt;=50,"Sangat Rendah",IF(J23&lt;=65,"Rendah",IF(J23&lt;=75,"Sedang",IF(J23&lt;=90,"Tinggi",IF(J23&lt;=100,"Sangat Tinggi","Salah")))))</f>
        <v>Sangat Rendah</v>
      </c>
    </row>
    <row r="24" spans="1:11" ht="30" x14ac:dyDescent="0.3">
      <c r="A24" s="507" t="s">
        <v>55</v>
      </c>
      <c r="B24" s="507" t="s">
        <v>54</v>
      </c>
      <c r="C24" s="507" t="s">
        <v>74</v>
      </c>
      <c r="D24" s="478" t="s">
        <v>287</v>
      </c>
      <c r="E24" s="601">
        <f>'EVALUASI RENJA TW 2 2019'!V65</f>
        <v>3.9837766914181985</v>
      </c>
      <c r="F24" s="602" t="str">
        <f>IF(E24&lt;=50,"Sangat Rendah",IF(E24&lt;=65,"Rendah",IF(E24&lt;=75,"Sedang",IF(E24&lt;=90,"Tinggi",IF(E24&lt;=100,"Sangat Tinggi","Salah")))))</f>
        <v>Sangat Rendah</v>
      </c>
      <c r="G24" s="603">
        <f>'EVALUASI RENJA TW 2 2019'!J66</f>
        <v>480913000</v>
      </c>
      <c r="H24" s="603">
        <f>'[2]Juli-19'!$V$53</f>
        <v>92744400</v>
      </c>
      <c r="I24" s="676">
        <f>'[2]Juli-19'!$Z$52</f>
        <v>19158500</v>
      </c>
      <c r="J24" s="604">
        <f>I24/G24*100</f>
        <v>3.9837766914181985</v>
      </c>
      <c r="K24" s="602" t="str">
        <f>IF(J24&lt;=50,"Sangat Rendah",IF(J24&lt;=65,"Rendah",IF(J24&lt;=75,"Sedang",IF(J24&lt;=90,"Tinggi",IF(J24&lt;=100,"Sangat Tinggi","Salah")))))</f>
        <v>Sangat Rendah</v>
      </c>
    </row>
    <row r="25" spans="1:11" ht="19.5" customHeight="1" x14ac:dyDescent="0.3">
      <c r="A25" s="163"/>
      <c r="B25" s="163"/>
      <c r="C25" s="163"/>
      <c r="D25" s="592" t="s">
        <v>440</v>
      </c>
      <c r="E25" s="610"/>
      <c r="F25" s="611"/>
      <c r="G25" s="612">
        <f>SUM(G26:G30)</f>
        <v>17317660</v>
      </c>
      <c r="H25" s="613">
        <f>SUM(H26:H26)</f>
        <v>17017660</v>
      </c>
      <c r="I25" s="613">
        <f>SUM(I26:I26)</f>
        <v>517500</v>
      </c>
      <c r="J25" s="609">
        <f>I25/G25*100</f>
        <v>2.9882790169110605</v>
      </c>
      <c r="K25" s="614" t="str">
        <f>IF(J25&lt;=50,"Sangat Rendah",IF(J25&lt;=65,"Rendah",IF(J25&lt;=75,"Sedang",IF(J25&lt;=90,"Tinggi",IF(J25&lt;=100,"Sangat Tinggi","Salah")))))</f>
        <v>Sangat Rendah</v>
      </c>
    </row>
    <row r="26" spans="1:11" s="177" customFormat="1" ht="18" customHeight="1" x14ac:dyDescent="0.25">
      <c r="A26" s="507" t="s">
        <v>55</v>
      </c>
      <c r="B26" s="507" t="s">
        <v>54</v>
      </c>
      <c r="C26" s="509" t="s">
        <v>441</v>
      </c>
      <c r="D26" s="597" t="s">
        <v>330</v>
      </c>
      <c r="E26" s="615">
        <f>'EVALUASI RENJA TW 2 2019'!V69</f>
        <v>2.9882790169110605</v>
      </c>
      <c r="F26" s="614" t="str">
        <f>IF(E26&lt;=50,"Sangat Rendah",IF(E26&lt;=65,"Rendah",IF(E26&lt;=75,"Sedang",IF(E26&lt;=90,"Tinggi",IF(E26&lt;=100,"Sangat Tinggi","Salah")))))</f>
        <v>Sangat Rendah</v>
      </c>
      <c r="G26" s="603">
        <f>'EVALUASI RENJA TW 2 2019'!J70</f>
        <v>17317660</v>
      </c>
      <c r="H26" s="603">
        <f>'[2]Juli-19'!$V$67</f>
        <v>17017660</v>
      </c>
      <c r="I26" s="676">
        <f>'[2]Juli-19'!$Z$67</f>
        <v>517500</v>
      </c>
      <c r="J26" s="604">
        <f>I26/G26*100</f>
        <v>2.9882790169110605</v>
      </c>
      <c r="K26" s="614" t="str">
        <f>IF(J26&lt;=50,"Sangat Rendah",IF(J26&lt;=65,"Rendah",IF(J26&lt;=75,"Sedang",IF(J26&lt;=90,"Tinggi",IF(J26&lt;=100,"Sangat Tinggi","Salah")))))</f>
        <v>Sangat Rendah</v>
      </c>
    </row>
    <row r="27" spans="1:11" ht="3.75" customHeight="1" x14ac:dyDescent="0.3">
      <c r="A27" s="593"/>
      <c r="B27" s="593"/>
      <c r="C27" s="593"/>
      <c r="D27" s="594"/>
      <c r="E27" s="593"/>
      <c r="F27" s="593"/>
      <c r="G27" s="593"/>
      <c r="H27" s="595"/>
      <c r="I27" s="596"/>
      <c r="J27" s="593"/>
      <c r="K27" s="593"/>
    </row>
    <row r="28" spans="1:11" x14ac:dyDescent="0.3">
      <c r="A28" s="832"/>
      <c r="B28" s="832"/>
      <c r="C28" s="832"/>
      <c r="D28" s="479" t="s">
        <v>165</v>
      </c>
      <c r="E28" s="173">
        <f>AVERAGE(E13:E16,E19:E21,E24,E26)</f>
        <v>13.066868188996995</v>
      </c>
      <c r="F28" s="174" t="str">
        <f>IF(E28&lt;=50,"Sangat Rendah",IF(E28&lt;=65,"Rendah",IF(E28&lt;=75,"Sedang",IF(E28&lt;=90,"Tinggi",IF(E28&lt;=100,"Sangat Tinggi","Salah")))))</f>
        <v>Sangat Rendah</v>
      </c>
      <c r="G28" s="175"/>
      <c r="H28" s="487"/>
      <c r="I28" s="176"/>
      <c r="J28" s="173">
        <f>AVERAGE(J13:J16,J19:J21,J24,J26)</f>
        <v>13.066868188996995</v>
      </c>
      <c r="K28" s="174" t="str">
        <f>IF(J28&lt;=50,"Sangat Rendah",IF(J28&lt;=65,"Rendah",IF(J28&lt;=75,"Sedang",IF(J28&lt;=90,"Tinggi",IF(J28&lt;=100,"Sangat Tinggi","Salah")))))</f>
        <v>Sangat Rendah</v>
      </c>
    </row>
    <row r="29" spans="1:11" ht="8.25" customHeight="1" x14ac:dyDescent="0.3"/>
    <row r="30" spans="1:11" ht="15.75" x14ac:dyDescent="0.3">
      <c r="G30" s="365"/>
      <c r="H30" s="831" t="s">
        <v>537</v>
      </c>
      <c r="I30" s="831"/>
      <c r="J30" s="831"/>
      <c r="K30" s="831"/>
    </row>
    <row r="31" spans="1:11" x14ac:dyDescent="0.3">
      <c r="F31" s="365"/>
      <c r="H31" s="830"/>
      <c r="I31" s="830"/>
      <c r="J31" s="830"/>
      <c r="K31" s="830"/>
    </row>
    <row r="32" spans="1:11" x14ac:dyDescent="0.3">
      <c r="H32" s="830"/>
      <c r="I32" s="830"/>
      <c r="J32" s="830"/>
      <c r="K32" s="830"/>
    </row>
    <row r="33" spans="4:11" x14ac:dyDescent="0.3">
      <c r="H33" s="830"/>
      <c r="I33" s="830"/>
      <c r="J33" s="830"/>
      <c r="K33" s="830"/>
    </row>
    <row r="34" spans="4:11" x14ac:dyDescent="0.3">
      <c r="D34" s="498"/>
      <c r="H34" s="830"/>
      <c r="I34" s="830"/>
      <c r="J34" s="830"/>
      <c r="K34" s="830"/>
    </row>
    <row r="35" spans="4:11" x14ac:dyDescent="0.3">
      <c r="D35" s="499"/>
      <c r="F35" s="499"/>
      <c r="H35" s="830"/>
      <c r="I35" s="830"/>
      <c r="J35" s="830"/>
      <c r="K35" s="830"/>
    </row>
    <row r="36" spans="4:11" ht="35.25" customHeight="1" x14ac:dyDescent="0.3">
      <c r="H36" s="830"/>
      <c r="I36" s="830"/>
      <c r="J36" s="830"/>
      <c r="K36" s="830"/>
    </row>
    <row r="37" spans="4:11" x14ac:dyDescent="0.3">
      <c r="H37" s="488"/>
      <c r="I37" s="457"/>
      <c r="J37" s="457"/>
      <c r="K37" s="457"/>
    </row>
    <row r="38" spans="4:11" x14ac:dyDescent="0.3">
      <c r="H38" s="830"/>
      <c r="I38" s="830"/>
      <c r="J38" s="830"/>
      <c r="K38" s="830"/>
    </row>
  </sheetData>
  <mergeCells count="30">
    <mergeCell ref="A1:K1"/>
    <mergeCell ref="I15:I16"/>
    <mergeCell ref="J15:J16"/>
    <mergeCell ref="A15:A16"/>
    <mergeCell ref="K15:K16"/>
    <mergeCell ref="A11:C11"/>
    <mergeCell ref="A28:C28"/>
    <mergeCell ref="A6:K6"/>
    <mergeCell ref="A7:K7"/>
    <mergeCell ref="A9:C10"/>
    <mergeCell ref="D9:D10"/>
    <mergeCell ref="E9:F9"/>
    <mergeCell ref="G9:G10"/>
    <mergeCell ref="H9:H10"/>
    <mergeCell ref="I9:K9"/>
    <mergeCell ref="D15:D16"/>
    <mergeCell ref="B15:B16"/>
    <mergeCell ref="C15:C16"/>
    <mergeCell ref="E15:E16"/>
    <mergeCell ref="F15:F16"/>
    <mergeCell ref="G15:G16"/>
    <mergeCell ref="H15:H16"/>
    <mergeCell ref="H35:K35"/>
    <mergeCell ref="H36:K36"/>
    <mergeCell ref="H38:K38"/>
    <mergeCell ref="H30:K30"/>
    <mergeCell ref="H31:K31"/>
    <mergeCell ref="H32:K32"/>
    <mergeCell ref="H33:K33"/>
    <mergeCell ref="H34:K34"/>
  </mergeCells>
  <printOptions horizontalCentered="1"/>
  <pageMargins left="0.47244094488188981" right="0" top="1.1023622047244095" bottom="0.94488188976377963" header="0.23622047244094491" footer="0.31496062992125984"/>
  <pageSetup paperSize="5" scale="85" orientation="landscape" horizontalDpi="4294967293" r:id="rId1"/>
  <rowBreaks count="1" manualBreakCount="1">
    <brk id="3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79"/>
  <sheetViews>
    <sheetView view="pageBreakPreview" topLeftCell="A28" zoomScaleSheetLayoutView="100" workbookViewId="0">
      <selection activeCell="E17" sqref="E17"/>
    </sheetView>
  </sheetViews>
  <sheetFormatPr defaultRowHeight="15" x14ac:dyDescent="0.25"/>
  <cols>
    <col min="1" max="1" width="2.85546875" customWidth="1"/>
    <col min="2" max="2" width="34" style="431" customWidth="1"/>
    <col min="3" max="3" width="35.28515625" style="431" customWidth="1"/>
    <col min="4" max="4" width="12.7109375" style="431" customWidth="1"/>
    <col min="5" max="6" width="12.7109375" style="58" customWidth="1"/>
    <col min="7" max="7" width="12.7109375" style="59" customWidth="1"/>
  </cols>
  <sheetData>
    <row r="1" spans="2:7" x14ac:dyDescent="0.25">
      <c r="B1" s="398"/>
      <c r="C1" s="398"/>
      <c r="D1" s="398"/>
      <c r="E1" s="398"/>
      <c r="F1" s="398"/>
      <c r="G1" s="398"/>
    </row>
    <row r="2" spans="2:7" x14ac:dyDescent="0.25">
      <c r="B2" s="398"/>
      <c r="C2" s="398"/>
      <c r="D2" s="398"/>
      <c r="E2" s="398"/>
      <c r="F2" s="398"/>
      <c r="G2" s="398"/>
    </row>
    <row r="3" spans="2:7" s="435" customFormat="1" ht="37.5" customHeight="1" x14ac:dyDescent="0.25">
      <c r="B3" s="851" t="s">
        <v>326</v>
      </c>
      <c r="C3" s="851"/>
      <c r="D3" s="851"/>
      <c r="E3" s="851"/>
      <c r="F3" s="851"/>
      <c r="G3" s="851"/>
    </row>
    <row r="4" spans="2:7" x14ac:dyDescent="0.25">
      <c r="B4" s="398"/>
      <c r="C4" s="398"/>
      <c r="D4" s="398"/>
      <c r="E4" s="398"/>
      <c r="F4" s="398"/>
      <c r="G4" s="398"/>
    </row>
    <row r="5" spans="2:7" x14ac:dyDescent="0.25">
      <c r="B5" s="852" t="s">
        <v>49</v>
      </c>
      <c r="C5" s="855" t="s">
        <v>51</v>
      </c>
      <c r="D5" s="815" t="s">
        <v>270</v>
      </c>
      <c r="E5" s="816"/>
      <c r="F5" s="815" t="s">
        <v>325</v>
      </c>
      <c r="G5" s="816"/>
    </row>
    <row r="6" spans="2:7" x14ac:dyDescent="0.25">
      <c r="B6" s="853"/>
      <c r="C6" s="855"/>
      <c r="D6" s="817"/>
      <c r="E6" s="818"/>
      <c r="F6" s="817"/>
      <c r="G6" s="818"/>
    </row>
    <row r="7" spans="2:7" ht="23.25" customHeight="1" x14ac:dyDescent="0.25">
      <c r="B7" s="854"/>
      <c r="C7" s="855"/>
      <c r="D7" s="819"/>
      <c r="E7" s="820"/>
      <c r="F7" s="819"/>
      <c r="G7" s="820"/>
    </row>
    <row r="8" spans="2:7" x14ac:dyDescent="0.25">
      <c r="B8" s="856">
        <v>3</v>
      </c>
      <c r="C8" s="856">
        <v>4</v>
      </c>
      <c r="D8" s="808">
        <v>7</v>
      </c>
      <c r="E8" s="809"/>
      <c r="F8" s="775">
        <v>8</v>
      </c>
      <c r="G8" s="776"/>
    </row>
    <row r="9" spans="2:7" x14ac:dyDescent="0.25">
      <c r="B9" s="857"/>
      <c r="C9" s="857"/>
      <c r="D9" s="399" t="s">
        <v>27</v>
      </c>
      <c r="E9" s="181" t="s">
        <v>9</v>
      </c>
      <c r="F9" s="399" t="s">
        <v>27</v>
      </c>
      <c r="G9" s="184" t="s">
        <v>6</v>
      </c>
    </row>
    <row r="10" spans="2:7" x14ac:dyDescent="0.25">
      <c r="B10" s="400" t="s">
        <v>133</v>
      </c>
      <c r="C10" s="401"/>
      <c r="D10" s="13"/>
      <c r="E10" s="223"/>
      <c r="F10" s="18"/>
      <c r="G10" s="223"/>
    </row>
    <row r="11" spans="2:7" x14ac:dyDescent="0.25">
      <c r="B11" s="402" t="s">
        <v>53</v>
      </c>
      <c r="C11" s="403"/>
      <c r="D11" s="296"/>
      <c r="E11" s="227">
        <f>SUM(E12,E22,E30,E34,E49,E56,E64)</f>
        <v>3387815000</v>
      </c>
      <c r="F11" s="404"/>
      <c r="G11" s="227">
        <f>SUM(G12,G22,G30,G34,G49,G56,G64)</f>
        <v>336093649</v>
      </c>
    </row>
    <row r="12" spans="2:7" x14ac:dyDescent="0.25">
      <c r="B12" s="400" t="s">
        <v>8</v>
      </c>
      <c r="C12" s="401"/>
      <c r="D12" s="405"/>
      <c r="E12" s="232">
        <f>SUM(E13:E19)</f>
        <v>362351000</v>
      </c>
      <c r="F12" s="406"/>
      <c r="G12" s="232">
        <f>SUM(G13:G19)</f>
        <v>36890692</v>
      </c>
    </row>
    <row r="13" spans="2:7" x14ac:dyDescent="0.25">
      <c r="B13" s="93" t="s">
        <v>7</v>
      </c>
      <c r="C13" s="407" t="s">
        <v>86</v>
      </c>
      <c r="D13" s="292" t="s">
        <v>33</v>
      </c>
      <c r="E13" s="96">
        <v>27786000</v>
      </c>
      <c r="F13" s="359"/>
      <c r="G13" s="19">
        <v>1640250</v>
      </c>
    </row>
    <row r="14" spans="2:7" ht="25.5" x14ac:dyDescent="0.25">
      <c r="B14" s="93" t="s">
        <v>13</v>
      </c>
      <c r="C14" s="407" t="s">
        <v>85</v>
      </c>
      <c r="D14" s="292" t="s">
        <v>28</v>
      </c>
      <c r="E14" s="96">
        <v>109020000</v>
      </c>
      <c r="F14" s="359"/>
      <c r="G14" s="19">
        <v>20779442</v>
      </c>
    </row>
    <row r="15" spans="2:7" x14ac:dyDescent="0.25">
      <c r="B15" s="93" t="s">
        <v>14</v>
      </c>
      <c r="C15" s="407" t="s">
        <v>32</v>
      </c>
      <c r="D15" s="292" t="s">
        <v>28</v>
      </c>
      <c r="E15" s="96">
        <v>49538000</v>
      </c>
      <c r="F15" s="359"/>
      <c r="G15" s="19">
        <v>14471000</v>
      </c>
    </row>
    <row r="16" spans="2:7" x14ac:dyDescent="0.25">
      <c r="B16" s="93" t="s">
        <v>15</v>
      </c>
      <c r="C16" s="407" t="s">
        <v>84</v>
      </c>
      <c r="D16" s="292" t="s">
        <v>29</v>
      </c>
      <c r="E16" s="96">
        <v>7000000</v>
      </c>
      <c r="F16" s="199"/>
      <c r="G16" s="291">
        <v>0</v>
      </c>
    </row>
    <row r="17" spans="2:7" ht="25.5" x14ac:dyDescent="0.25">
      <c r="B17" s="93" t="s">
        <v>16</v>
      </c>
      <c r="C17" s="407" t="s">
        <v>83</v>
      </c>
      <c r="D17" s="292" t="s">
        <v>29</v>
      </c>
      <c r="E17" s="96">
        <v>4750000</v>
      </c>
      <c r="F17" s="199"/>
      <c r="G17" s="291">
        <v>0</v>
      </c>
    </row>
    <row r="18" spans="2:7" ht="25.5" x14ac:dyDescent="0.25">
      <c r="B18" s="93" t="s">
        <v>17</v>
      </c>
      <c r="C18" s="407" t="s">
        <v>82</v>
      </c>
      <c r="D18" s="292" t="s">
        <v>271</v>
      </c>
      <c r="E18" s="96">
        <v>111334000</v>
      </c>
      <c r="F18" s="360"/>
      <c r="G18" s="291">
        <v>0</v>
      </c>
    </row>
    <row r="19" spans="2:7" ht="51" x14ac:dyDescent="0.25">
      <c r="B19" s="16" t="s">
        <v>18</v>
      </c>
      <c r="C19" s="408" t="s">
        <v>81</v>
      </c>
      <c r="D19" s="296" t="s">
        <v>272</v>
      </c>
      <c r="E19" s="105">
        <v>52923000</v>
      </c>
      <c r="F19" s="361"/>
      <c r="G19" s="296">
        <v>0</v>
      </c>
    </row>
    <row r="20" spans="2:7" x14ac:dyDescent="0.25">
      <c r="B20" s="398"/>
      <c r="C20" s="398"/>
      <c r="D20" s="398"/>
      <c r="E20" s="398"/>
      <c r="F20" s="398"/>
      <c r="G20" s="398"/>
    </row>
    <row r="21" spans="2:7" x14ac:dyDescent="0.25">
      <c r="B21" s="398"/>
      <c r="C21" s="398"/>
      <c r="D21" s="398"/>
      <c r="E21" s="398"/>
      <c r="F21" s="398"/>
      <c r="G21" s="398"/>
    </row>
    <row r="22" spans="2:7" x14ac:dyDescent="0.25">
      <c r="B22" s="17" t="s">
        <v>19</v>
      </c>
      <c r="C22" s="17"/>
      <c r="D22" s="409"/>
      <c r="E22" s="237">
        <f>SUM(E23:E27)</f>
        <v>376423000</v>
      </c>
      <c r="F22" s="410"/>
      <c r="G22" s="238">
        <f>SUM(G23:G27)</f>
        <v>43335400</v>
      </c>
    </row>
    <row r="23" spans="2:7" x14ac:dyDescent="0.25">
      <c r="B23" s="93" t="s">
        <v>301</v>
      </c>
      <c r="C23" s="407" t="s">
        <v>80</v>
      </c>
      <c r="D23" s="111" t="s">
        <v>273</v>
      </c>
      <c r="E23" s="114">
        <v>7000000</v>
      </c>
      <c r="F23" s="359"/>
      <c r="G23" s="48">
        <v>0</v>
      </c>
    </row>
    <row r="24" spans="2:7" x14ac:dyDescent="0.25">
      <c r="B24" s="93" t="s">
        <v>63</v>
      </c>
      <c r="C24" s="407" t="s">
        <v>79</v>
      </c>
      <c r="D24" s="111" t="s">
        <v>89</v>
      </c>
      <c r="E24" s="114">
        <v>15866000</v>
      </c>
      <c r="F24" s="363"/>
      <c r="G24" s="48">
        <v>4950000</v>
      </c>
    </row>
    <row r="25" spans="2:7" ht="25.5" x14ac:dyDescent="0.25">
      <c r="B25" s="93" t="s">
        <v>20</v>
      </c>
      <c r="C25" s="407" t="s">
        <v>78</v>
      </c>
      <c r="D25" s="111" t="s">
        <v>274</v>
      </c>
      <c r="E25" s="112">
        <v>148964000</v>
      </c>
      <c r="F25" s="111"/>
      <c r="G25" s="48">
        <v>22695250</v>
      </c>
    </row>
    <row r="26" spans="2:7" x14ac:dyDescent="0.25">
      <c r="B26" s="93" t="s">
        <v>64</v>
      </c>
      <c r="C26" s="407" t="s">
        <v>77</v>
      </c>
      <c r="D26" s="111" t="s">
        <v>275</v>
      </c>
      <c r="E26" s="112">
        <v>48593000</v>
      </c>
      <c r="F26" s="359"/>
      <c r="G26" s="48">
        <v>15690150</v>
      </c>
    </row>
    <row r="27" spans="2:7" x14ac:dyDescent="0.25">
      <c r="B27" s="118" t="s">
        <v>65</v>
      </c>
      <c r="C27" s="411" t="s">
        <v>76</v>
      </c>
      <c r="D27" s="120" t="s">
        <v>89</v>
      </c>
      <c r="E27" s="121">
        <v>156000000</v>
      </c>
      <c r="F27" s="364"/>
      <c r="G27" s="125">
        <v>0</v>
      </c>
    </row>
    <row r="28" spans="2:7" x14ac:dyDescent="0.25">
      <c r="B28" s="398"/>
      <c r="C28" s="398"/>
      <c r="D28" s="398"/>
      <c r="E28" s="398"/>
      <c r="F28" s="398"/>
      <c r="G28" s="398"/>
    </row>
    <row r="29" spans="2:7" x14ac:dyDescent="0.25">
      <c r="B29" s="398"/>
      <c r="C29" s="398"/>
      <c r="D29" s="398"/>
      <c r="E29" s="398"/>
      <c r="F29" s="398"/>
      <c r="G29" s="398"/>
    </row>
    <row r="30" spans="2:7" ht="25.5" x14ac:dyDescent="0.25">
      <c r="B30" s="412" t="s">
        <v>21</v>
      </c>
      <c r="C30" s="17"/>
      <c r="D30" s="71">
        <f>SUM(D31)</f>
        <v>0</v>
      </c>
      <c r="E30" s="71">
        <f>SUM(E31)</f>
        <v>22000000</v>
      </c>
      <c r="F30" s="322"/>
      <c r="G30" s="71">
        <f>SUM(G31)</f>
        <v>0</v>
      </c>
    </row>
    <row r="31" spans="2:7" ht="25.5" x14ac:dyDescent="0.25">
      <c r="B31" s="408" t="s">
        <v>22</v>
      </c>
      <c r="C31" s="16" t="s">
        <v>75</v>
      </c>
      <c r="D31" s="413" t="s">
        <v>276</v>
      </c>
      <c r="E31" s="414">
        <v>22000000</v>
      </c>
      <c r="F31" s="295"/>
      <c r="G31" s="50">
        <v>0</v>
      </c>
    </row>
    <row r="32" spans="2:7" x14ac:dyDescent="0.25">
      <c r="B32" s="398"/>
      <c r="C32" s="398"/>
      <c r="D32" s="398"/>
      <c r="E32" s="398"/>
      <c r="F32" s="398"/>
      <c r="G32" s="398"/>
    </row>
    <row r="33" spans="2:7" x14ac:dyDescent="0.25">
      <c r="B33" s="398"/>
      <c r="C33" s="398"/>
      <c r="D33" s="398"/>
      <c r="E33" s="398"/>
      <c r="F33" s="398"/>
      <c r="G33" s="398"/>
    </row>
    <row r="34" spans="2:7" ht="25.5" x14ac:dyDescent="0.25">
      <c r="B34" s="415" t="s">
        <v>23</v>
      </c>
      <c r="C34" s="416"/>
      <c r="D34" s="14"/>
      <c r="E34" s="130">
        <f>SUM(E35:E45)</f>
        <v>1569117000</v>
      </c>
      <c r="F34" s="19"/>
      <c r="G34" s="130">
        <f>SUM(G35:G45)</f>
        <v>57432700</v>
      </c>
    </row>
    <row r="35" spans="2:7" ht="25.5" x14ac:dyDescent="0.25">
      <c r="B35" s="93" t="s">
        <v>24</v>
      </c>
      <c r="C35" s="417" t="s">
        <v>46</v>
      </c>
      <c r="D35" s="14" t="s">
        <v>187</v>
      </c>
      <c r="E35" s="131">
        <v>493520000</v>
      </c>
      <c r="F35" s="292"/>
      <c r="G35" s="48">
        <v>23991400</v>
      </c>
    </row>
    <row r="36" spans="2:7" ht="25.5" x14ac:dyDescent="0.25">
      <c r="B36" s="93" t="s">
        <v>96</v>
      </c>
      <c r="C36" s="417" t="s">
        <v>97</v>
      </c>
      <c r="D36" s="14" t="s">
        <v>98</v>
      </c>
      <c r="E36" s="131">
        <v>240982000</v>
      </c>
      <c r="F36" s="14"/>
      <c r="G36" s="48">
        <v>4781000</v>
      </c>
    </row>
    <row r="37" spans="2:7" ht="38.25" x14ac:dyDescent="0.25">
      <c r="B37" s="93" t="s">
        <v>100</v>
      </c>
      <c r="C37" s="417" t="s">
        <v>101</v>
      </c>
      <c r="D37" s="14" t="s">
        <v>102</v>
      </c>
      <c r="E37" s="131">
        <v>75000000</v>
      </c>
      <c r="F37" s="19"/>
      <c r="G37" s="48">
        <v>0</v>
      </c>
    </row>
    <row r="38" spans="2:7" ht="25.5" x14ac:dyDescent="0.25">
      <c r="B38" s="418" t="s">
        <v>104</v>
      </c>
      <c r="C38" s="418" t="s">
        <v>105</v>
      </c>
      <c r="D38" s="14" t="s">
        <v>106</v>
      </c>
      <c r="E38" s="131">
        <v>41800000</v>
      </c>
      <c r="F38" s="19"/>
      <c r="G38" s="48">
        <v>0</v>
      </c>
    </row>
    <row r="39" spans="2:7" ht="25.5" x14ac:dyDescent="0.25">
      <c r="B39" s="93" t="s">
        <v>120</v>
      </c>
      <c r="C39" s="417" t="s">
        <v>121</v>
      </c>
      <c r="D39" s="14" t="s">
        <v>122</v>
      </c>
      <c r="E39" s="131">
        <v>32178000</v>
      </c>
      <c r="F39" s="19"/>
      <c r="G39" s="48">
        <v>2285000</v>
      </c>
    </row>
    <row r="40" spans="2:7" ht="25.5" x14ac:dyDescent="0.25">
      <c r="B40" s="305" t="s">
        <v>109</v>
      </c>
      <c r="C40" s="419" t="s">
        <v>110</v>
      </c>
      <c r="D40" s="13" t="s">
        <v>111</v>
      </c>
      <c r="E40" s="196">
        <v>60106000</v>
      </c>
      <c r="F40" s="18"/>
      <c r="G40" s="189">
        <v>0</v>
      </c>
    </row>
    <row r="41" spans="2:7" ht="51" x14ac:dyDescent="0.25">
      <c r="B41" s="93" t="s">
        <v>178</v>
      </c>
      <c r="C41" s="417" t="s">
        <v>87</v>
      </c>
      <c r="D41" s="14" t="s">
        <v>45</v>
      </c>
      <c r="E41" s="131">
        <v>116981000</v>
      </c>
      <c r="F41" s="14"/>
      <c r="G41" s="131">
        <v>24277100</v>
      </c>
    </row>
    <row r="42" spans="2:7" x14ac:dyDescent="0.25">
      <c r="B42" s="93" t="s">
        <v>277</v>
      </c>
      <c r="C42" s="417" t="s">
        <v>315</v>
      </c>
      <c r="D42" s="420" t="s">
        <v>284</v>
      </c>
      <c r="E42" s="131">
        <v>50000000</v>
      </c>
      <c r="F42" s="19"/>
      <c r="G42" s="48">
        <v>1798200</v>
      </c>
    </row>
    <row r="43" spans="2:7" ht="25.5" x14ac:dyDescent="0.25">
      <c r="B43" s="93" t="s">
        <v>278</v>
      </c>
      <c r="C43" s="417" t="s">
        <v>316</v>
      </c>
      <c r="D43" s="420" t="s">
        <v>281</v>
      </c>
      <c r="E43" s="131">
        <v>20000000</v>
      </c>
      <c r="F43" s="19"/>
      <c r="G43" s="48">
        <v>0</v>
      </c>
    </row>
    <row r="44" spans="2:7" ht="25.5" x14ac:dyDescent="0.25">
      <c r="B44" s="93" t="s">
        <v>279</v>
      </c>
      <c r="C44" s="417" t="s">
        <v>318</v>
      </c>
      <c r="D44" s="420" t="s">
        <v>282</v>
      </c>
      <c r="E44" s="131">
        <v>43550000</v>
      </c>
      <c r="F44" s="19"/>
      <c r="G44" s="48">
        <v>0</v>
      </c>
    </row>
    <row r="45" spans="2:7" ht="25.5" x14ac:dyDescent="0.25">
      <c r="B45" s="93" t="s">
        <v>280</v>
      </c>
      <c r="C45" s="417" t="s">
        <v>319</v>
      </c>
      <c r="D45" s="420" t="s">
        <v>283</v>
      </c>
      <c r="E45" s="131">
        <v>395000000</v>
      </c>
      <c r="F45" s="19"/>
      <c r="G45" s="48">
        <v>300000</v>
      </c>
    </row>
    <row r="46" spans="2:7" x14ac:dyDescent="0.25">
      <c r="B46" s="398"/>
      <c r="C46" s="398"/>
      <c r="D46" s="398"/>
      <c r="E46" s="398"/>
      <c r="F46" s="398"/>
      <c r="G46" s="398"/>
    </row>
    <row r="47" spans="2:7" x14ac:dyDescent="0.25">
      <c r="B47" s="421">
        <f>E49+E34+E56</f>
        <v>2497041000</v>
      </c>
      <c r="C47" s="323"/>
      <c r="D47" s="422"/>
      <c r="E47" s="323"/>
      <c r="F47" s="323"/>
      <c r="G47" s="323"/>
    </row>
    <row r="48" spans="2:7" x14ac:dyDescent="0.25">
      <c r="B48" s="398"/>
      <c r="C48" s="398"/>
      <c r="D48" s="398"/>
      <c r="E48" s="398"/>
      <c r="F48" s="398"/>
      <c r="G48" s="398"/>
    </row>
    <row r="49" spans="2:7" ht="25.5" x14ac:dyDescent="0.25">
      <c r="B49" s="400" t="s">
        <v>125</v>
      </c>
      <c r="C49" s="401"/>
      <c r="D49" s="13"/>
      <c r="E49" s="139">
        <f>SUM(E50:E53)</f>
        <v>140809000</v>
      </c>
      <c r="F49" s="18"/>
      <c r="G49" s="139">
        <f>SUM(G50:G53)</f>
        <v>65176750</v>
      </c>
    </row>
    <row r="50" spans="2:7" ht="25.5" x14ac:dyDescent="0.25">
      <c r="B50" s="417" t="s">
        <v>126</v>
      </c>
      <c r="C50" s="93" t="s">
        <v>127</v>
      </c>
      <c r="D50" s="14" t="s">
        <v>281</v>
      </c>
      <c r="E50" s="131">
        <v>46476000</v>
      </c>
      <c r="F50" s="14"/>
      <c r="G50" s="48">
        <v>44354250</v>
      </c>
    </row>
    <row r="51" spans="2:7" ht="25.5" x14ac:dyDescent="0.25">
      <c r="B51" s="305" t="s">
        <v>92</v>
      </c>
      <c r="C51" s="419" t="s">
        <v>93</v>
      </c>
      <c r="D51" s="14" t="s">
        <v>292</v>
      </c>
      <c r="E51" s="131">
        <v>41152000</v>
      </c>
      <c r="F51" s="19"/>
      <c r="G51" s="48">
        <v>1400000</v>
      </c>
    </row>
    <row r="52" spans="2:7" ht="25.5" x14ac:dyDescent="0.25">
      <c r="B52" s="292" t="s">
        <v>291</v>
      </c>
      <c r="C52" s="423" t="s">
        <v>127</v>
      </c>
      <c r="D52" s="14" t="s">
        <v>293</v>
      </c>
      <c r="E52" s="131">
        <v>28681000</v>
      </c>
      <c r="F52" s="14"/>
      <c r="G52" s="48">
        <v>19422500</v>
      </c>
    </row>
    <row r="53" spans="2:7" x14ac:dyDescent="0.25">
      <c r="B53" s="424" t="s">
        <v>179</v>
      </c>
      <c r="C53" s="425" t="s">
        <v>321</v>
      </c>
      <c r="D53" s="426" t="s">
        <v>195</v>
      </c>
      <c r="E53" s="427">
        <v>24500000</v>
      </c>
      <c r="F53" s="40"/>
      <c r="G53" s="49">
        <v>0</v>
      </c>
    </row>
    <row r="54" spans="2:7" x14ac:dyDescent="0.25">
      <c r="B54" s="398"/>
      <c r="C54" s="398"/>
      <c r="D54" s="398"/>
      <c r="E54" s="398"/>
      <c r="F54" s="398"/>
      <c r="G54" s="398"/>
    </row>
    <row r="55" spans="2:7" x14ac:dyDescent="0.25">
      <c r="B55" s="398"/>
      <c r="C55" s="398"/>
      <c r="D55" s="398"/>
      <c r="E55" s="398"/>
      <c r="F55" s="398"/>
      <c r="G55" s="398"/>
    </row>
    <row r="56" spans="2:7" ht="25.5" x14ac:dyDescent="0.25">
      <c r="B56" s="412" t="s">
        <v>129</v>
      </c>
      <c r="C56" s="17"/>
      <c r="D56" s="409"/>
      <c r="E56" s="71">
        <f>SUM(E57:E63)</f>
        <v>787115000</v>
      </c>
      <c r="F56" s="322"/>
      <c r="G56" s="71">
        <f>SUM(G57:G63)</f>
        <v>130803427</v>
      </c>
    </row>
    <row r="57" spans="2:7" ht="25.5" x14ac:dyDescent="0.25">
      <c r="B57" s="93" t="s">
        <v>116</v>
      </c>
      <c r="C57" s="417" t="s">
        <v>117</v>
      </c>
      <c r="D57" s="14" t="s">
        <v>294</v>
      </c>
      <c r="E57" s="131">
        <v>60000000</v>
      </c>
      <c r="F57" s="19"/>
      <c r="G57" s="48">
        <v>700000</v>
      </c>
    </row>
    <row r="58" spans="2:7" x14ac:dyDescent="0.25">
      <c r="B58" s="407" t="s">
        <v>25</v>
      </c>
      <c r="C58" s="93" t="s">
        <v>131</v>
      </c>
      <c r="D58" s="14" t="s">
        <v>132</v>
      </c>
      <c r="E58" s="131">
        <v>273000000</v>
      </c>
      <c r="F58" s="19"/>
      <c r="G58" s="48">
        <v>22797000</v>
      </c>
    </row>
    <row r="59" spans="2:7" ht="38.25" x14ac:dyDescent="0.25">
      <c r="B59" s="93" t="s">
        <v>166</v>
      </c>
      <c r="C59" s="417" t="s">
        <v>115</v>
      </c>
      <c r="D59" s="14" t="s">
        <v>295</v>
      </c>
      <c r="E59" s="131">
        <v>88440000</v>
      </c>
      <c r="F59" s="292"/>
      <c r="G59" s="48">
        <v>13935000</v>
      </c>
    </row>
    <row r="60" spans="2:7" ht="38.25" x14ac:dyDescent="0.25">
      <c r="B60" s="93" t="s">
        <v>118</v>
      </c>
      <c r="C60" s="417" t="s">
        <v>119</v>
      </c>
      <c r="D60" s="14" t="s">
        <v>296</v>
      </c>
      <c r="E60" s="131">
        <v>70000000</v>
      </c>
      <c r="F60" s="19"/>
      <c r="G60" s="48">
        <v>16926500</v>
      </c>
    </row>
    <row r="61" spans="2:7" ht="51.75" thickBot="1" x14ac:dyDescent="0.3">
      <c r="B61" s="419" t="s">
        <v>184</v>
      </c>
      <c r="C61" s="428" t="s">
        <v>200</v>
      </c>
      <c r="D61" s="429" t="s">
        <v>297</v>
      </c>
      <c r="E61" s="430">
        <v>40000000</v>
      </c>
      <c r="F61" s="298"/>
      <c r="G61" s="299">
        <v>32270000</v>
      </c>
    </row>
    <row r="62" spans="2:7" ht="25.5" x14ac:dyDescent="0.25">
      <c r="B62" s="93" t="s">
        <v>107</v>
      </c>
      <c r="C62" s="419" t="s">
        <v>113</v>
      </c>
      <c r="D62" s="14" t="s">
        <v>298</v>
      </c>
      <c r="E62" s="131">
        <v>233755000</v>
      </c>
      <c r="F62" s="14"/>
      <c r="G62" s="48">
        <v>43259927</v>
      </c>
    </row>
    <row r="63" spans="2:7" x14ac:dyDescent="0.25">
      <c r="B63" s="93" t="s">
        <v>112</v>
      </c>
      <c r="C63" s="417" t="s">
        <v>113</v>
      </c>
      <c r="D63" s="14" t="s">
        <v>299</v>
      </c>
      <c r="E63" s="131">
        <v>21920000</v>
      </c>
      <c r="F63" s="14"/>
      <c r="G63" s="48">
        <v>915000</v>
      </c>
    </row>
    <row r="64" spans="2:7" ht="25.5" x14ac:dyDescent="0.25">
      <c r="B64" s="412" t="s">
        <v>287</v>
      </c>
      <c r="C64" s="17"/>
      <c r="D64" s="409"/>
      <c r="E64" s="71">
        <f>SUM(E65:E65)</f>
        <v>130000000</v>
      </c>
      <c r="F64" s="322"/>
      <c r="G64" s="71">
        <f>SUM(G65:G65)</f>
        <v>2454680</v>
      </c>
    </row>
    <row r="65" spans="2:7" x14ac:dyDescent="0.25">
      <c r="B65" s="93" t="s">
        <v>288</v>
      </c>
      <c r="C65" s="417"/>
      <c r="D65" s="14" t="s">
        <v>289</v>
      </c>
      <c r="E65" s="131">
        <v>130000000</v>
      </c>
      <c r="F65" s="14"/>
      <c r="G65" s="48">
        <v>2454680</v>
      </c>
    </row>
    <row r="70" spans="2:7" x14ac:dyDescent="0.25">
      <c r="E70" s="432"/>
    </row>
    <row r="74" spans="2:7" x14ac:dyDescent="0.25">
      <c r="E74" s="433"/>
      <c r="F74" s="434"/>
    </row>
    <row r="75" spans="2:7" x14ac:dyDescent="0.25">
      <c r="E75" s="433"/>
    </row>
    <row r="77" spans="2:7" x14ac:dyDescent="0.25">
      <c r="E77" s="432"/>
    </row>
    <row r="79" spans="2:7" x14ac:dyDescent="0.25">
      <c r="E79" s="434"/>
    </row>
  </sheetData>
  <mergeCells count="9">
    <mergeCell ref="F8:G8"/>
    <mergeCell ref="F5:G7"/>
    <mergeCell ref="B3:G3"/>
    <mergeCell ref="B5:B7"/>
    <mergeCell ref="C5:C7"/>
    <mergeCell ref="B8:B9"/>
    <mergeCell ref="C8:C9"/>
    <mergeCell ref="D5:E7"/>
    <mergeCell ref="D8:E8"/>
  </mergeCells>
  <printOptions horizontalCentered="1"/>
  <pageMargins left="0.31496062992125984" right="0.31496062992125984" top="0.15748031496062992" bottom="0.15748031496062992" header="0.31496062992125984" footer="0.31496062992125984"/>
  <pageSetup paperSize="258" scale="128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81"/>
  <sheetViews>
    <sheetView zoomScale="80" zoomScaleNormal="80" workbookViewId="0">
      <selection activeCell="E17" sqref="E17"/>
    </sheetView>
  </sheetViews>
  <sheetFormatPr defaultRowHeight="15.75" x14ac:dyDescent="0.25"/>
  <cols>
    <col min="2" max="2" width="5.7109375" style="435" customWidth="1"/>
    <col min="3" max="3" width="44.5703125" style="437" customWidth="1"/>
    <col min="4" max="4" width="42.28515625" style="436" customWidth="1"/>
    <col min="5" max="5" width="39" customWidth="1"/>
  </cols>
  <sheetData>
    <row r="1" spans="2:5" ht="31.5" customHeight="1" x14ac:dyDescent="0.3">
      <c r="B1" s="858" t="s">
        <v>398</v>
      </c>
      <c r="C1" s="858"/>
      <c r="D1" s="858"/>
      <c r="E1" s="858"/>
    </row>
    <row r="4" spans="2:5" s="438" customFormat="1" ht="46.5" customHeight="1" x14ac:dyDescent="0.25">
      <c r="B4" s="443" t="s">
        <v>203</v>
      </c>
      <c r="C4" s="440" t="s">
        <v>369</v>
      </c>
      <c r="D4" s="440" t="s">
        <v>370</v>
      </c>
      <c r="E4" s="441" t="s">
        <v>397</v>
      </c>
    </row>
    <row r="5" spans="2:5" s="442" customFormat="1" ht="13.5" customHeight="1" x14ac:dyDescent="0.25">
      <c r="B5" s="441">
        <v>1</v>
      </c>
      <c r="C5" s="440">
        <v>2</v>
      </c>
      <c r="D5" s="440">
        <v>3</v>
      </c>
      <c r="E5" s="441">
        <v>4</v>
      </c>
    </row>
    <row r="6" spans="2:5" s="438" customFormat="1" ht="33.75" customHeight="1" x14ac:dyDescent="0.25">
      <c r="B6" s="455">
        <v>1</v>
      </c>
      <c r="C6" s="445" t="s">
        <v>327</v>
      </c>
      <c r="D6" s="445" t="s">
        <v>327</v>
      </c>
      <c r="E6" s="445" t="s">
        <v>327</v>
      </c>
    </row>
    <row r="7" spans="2:5" s="438" customFormat="1" ht="32.25" customHeight="1" x14ac:dyDescent="0.25">
      <c r="B7" s="444"/>
      <c r="C7" s="446" t="s">
        <v>7</v>
      </c>
      <c r="D7" s="446" t="s">
        <v>371</v>
      </c>
      <c r="E7" s="446" t="s">
        <v>371</v>
      </c>
    </row>
    <row r="8" spans="2:5" s="438" customFormat="1" ht="32.25" customHeight="1" x14ac:dyDescent="0.25">
      <c r="B8" s="444"/>
      <c r="C8" s="446" t="s">
        <v>378</v>
      </c>
      <c r="D8" s="446" t="s">
        <v>372</v>
      </c>
      <c r="E8" s="446" t="s">
        <v>372</v>
      </c>
    </row>
    <row r="9" spans="2:5" s="438" customFormat="1" ht="32.25" customHeight="1" x14ac:dyDescent="0.25">
      <c r="B9" s="444"/>
      <c r="C9" s="446" t="s">
        <v>14</v>
      </c>
      <c r="D9" s="446" t="s">
        <v>373</v>
      </c>
      <c r="E9" s="446" t="s">
        <v>373</v>
      </c>
    </row>
    <row r="10" spans="2:5" s="438" customFormat="1" ht="32.25" customHeight="1" x14ac:dyDescent="0.25">
      <c r="B10" s="444"/>
      <c r="C10" s="446" t="s">
        <v>15</v>
      </c>
      <c r="D10" s="446" t="s">
        <v>374</v>
      </c>
      <c r="E10" s="446" t="s">
        <v>374</v>
      </c>
    </row>
    <row r="11" spans="2:5" s="438" customFormat="1" ht="32.25" customHeight="1" x14ac:dyDescent="0.25">
      <c r="B11" s="444"/>
      <c r="C11" s="446" t="s">
        <v>379</v>
      </c>
      <c r="D11" s="446" t="s">
        <v>375</v>
      </c>
      <c r="E11" s="446" t="s">
        <v>375</v>
      </c>
    </row>
    <row r="12" spans="2:5" s="438" customFormat="1" ht="32.25" customHeight="1" x14ac:dyDescent="0.25">
      <c r="B12" s="444"/>
      <c r="C12" s="446" t="s">
        <v>380</v>
      </c>
      <c r="D12" s="446" t="s">
        <v>376</v>
      </c>
      <c r="E12" s="446" t="s">
        <v>376</v>
      </c>
    </row>
    <row r="13" spans="2:5" s="438" customFormat="1" ht="32.25" customHeight="1" x14ac:dyDescent="0.25">
      <c r="B13" s="444"/>
      <c r="C13" s="446" t="s">
        <v>381</v>
      </c>
      <c r="D13" s="446" t="s">
        <v>377</v>
      </c>
      <c r="E13" s="446" t="s">
        <v>377</v>
      </c>
    </row>
    <row r="14" spans="2:5" s="438" customFormat="1" ht="12.75" customHeight="1" x14ac:dyDescent="0.25">
      <c r="B14" s="444"/>
      <c r="C14" s="446"/>
      <c r="D14" s="446"/>
      <c r="E14" s="446"/>
    </row>
    <row r="15" spans="2:5" s="438" customFormat="1" ht="31.5" x14ac:dyDescent="0.25">
      <c r="B15" s="444">
        <v>2</v>
      </c>
      <c r="C15" s="447" t="s">
        <v>328</v>
      </c>
      <c r="D15" s="447" t="s">
        <v>328</v>
      </c>
      <c r="E15" s="447" t="s">
        <v>328</v>
      </c>
    </row>
    <row r="16" spans="2:5" s="438" customFormat="1" ht="32.25" customHeight="1" x14ac:dyDescent="0.25">
      <c r="B16" s="444"/>
      <c r="C16" s="446" t="s">
        <v>382</v>
      </c>
      <c r="D16" s="446" t="s">
        <v>386</v>
      </c>
      <c r="E16" s="446" t="s">
        <v>386</v>
      </c>
    </row>
    <row r="17" spans="2:5" s="438" customFormat="1" ht="32.25" customHeight="1" x14ac:dyDescent="0.25">
      <c r="B17" s="444"/>
      <c r="C17" s="446" t="s">
        <v>383</v>
      </c>
      <c r="D17" s="446"/>
      <c r="E17" s="446"/>
    </row>
    <row r="18" spans="2:5" s="438" customFormat="1" ht="32.25" customHeight="1" x14ac:dyDescent="0.25">
      <c r="B18" s="444"/>
      <c r="C18" s="446" t="s">
        <v>63</v>
      </c>
      <c r="D18" s="446" t="s">
        <v>387</v>
      </c>
      <c r="E18" s="446" t="s">
        <v>387</v>
      </c>
    </row>
    <row r="19" spans="2:5" s="438" customFormat="1" ht="32.25" customHeight="1" x14ac:dyDescent="0.25">
      <c r="B19" s="444"/>
      <c r="C19" s="446" t="s">
        <v>384</v>
      </c>
      <c r="D19" s="446" t="s">
        <v>388</v>
      </c>
      <c r="E19" s="446" t="s">
        <v>388</v>
      </c>
    </row>
    <row r="20" spans="2:5" s="438" customFormat="1" ht="32.25" customHeight="1" x14ac:dyDescent="0.25">
      <c r="B20" s="444"/>
      <c r="C20" s="446" t="s">
        <v>64</v>
      </c>
      <c r="D20" s="446" t="s">
        <v>389</v>
      </c>
      <c r="E20" s="446" t="s">
        <v>389</v>
      </c>
    </row>
    <row r="21" spans="2:5" s="438" customFormat="1" ht="32.25" customHeight="1" x14ac:dyDescent="0.25">
      <c r="B21" s="444"/>
      <c r="C21" s="446" t="s">
        <v>385</v>
      </c>
      <c r="D21" s="446" t="s">
        <v>390</v>
      </c>
      <c r="E21" s="446" t="s">
        <v>390</v>
      </c>
    </row>
    <row r="22" spans="2:5" s="438" customFormat="1" ht="11.25" customHeight="1" x14ac:dyDescent="0.25">
      <c r="B22" s="444"/>
      <c r="C22" s="446"/>
      <c r="D22" s="446"/>
      <c r="E22" s="446"/>
    </row>
    <row r="23" spans="2:5" s="438" customFormat="1" ht="47.25" x14ac:dyDescent="0.25">
      <c r="B23" s="444">
        <v>3</v>
      </c>
      <c r="C23" s="447" t="s">
        <v>21</v>
      </c>
      <c r="D23" s="447" t="s">
        <v>21</v>
      </c>
      <c r="E23" s="447" t="s">
        <v>21</v>
      </c>
    </row>
    <row r="24" spans="2:5" s="438" customFormat="1" ht="31.5" x14ac:dyDescent="0.25">
      <c r="B24" s="444"/>
      <c r="C24" s="446" t="s">
        <v>329</v>
      </c>
      <c r="D24" s="446" t="s">
        <v>391</v>
      </c>
      <c r="E24" s="446" t="s">
        <v>391</v>
      </c>
    </row>
    <row r="25" spans="2:5" s="438" customFormat="1" ht="12.75" customHeight="1" x14ac:dyDescent="0.25">
      <c r="B25" s="444"/>
      <c r="C25" s="446"/>
      <c r="D25" s="446"/>
      <c r="E25" s="446"/>
    </row>
    <row r="26" spans="2:5" s="438" customFormat="1" ht="31.5" x14ac:dyDescent="0.25">
      <c r="B26" s="444">
        <v>4</v>
      </c>
      <c r="C26" s="447" t="s">
        <v>330</v>
      </c>
      <c r="D26" s="447" t="s">
        <v>330</v>
      </c>
      <c r="E26" s="447" t="s">
        <v>330</v>
      </c>
    </row>
    <row r="27" spans="2:5" s="438" customFormat="1" x14ac:dyDescent="0.25">
      <c r="B27" s="444"/>
      <c r="C27" s="446" t="s">
        <v>331</v>
      </c>
      <c r="D27" s="446"/>
      <c r="E27" s="446"/>
    </row>
    <row r="28" spans="2:5" s="438" customFormat="1" ht="12" customHeight="1" x14ac:dyDescent="0.25">
      <c r="B28" s="444"/>
      <c r="C28" s="446"/>
      <c r="D28" s="446"/>
      <c r="E28" s="446"/>
    </row>
    <row r="29" spans="2:5" s="439" customFormat="1" ht="31.5" x14ac:dyDescent="0.25">
      <c r="B29" s="444">
        <v>5</v>
      </c>
      <c r="C29" s="447" t="s">
        <v>23</v>
      </c>
      <c r="D29" s="447" t="s">
        <v>23</v>
      </c>
      <c r="E29" s="447" t="s">
        <v>23</v>
      </c>
    </row>
    <row r="30" spans="2:5" s="438" customFormat="1" ht="31.5" x14ac:dyDescent="0.25">
      <c r="B30" s="444"/>
      <c r="C30" s="446" t="s">
        <v>332</v>
      </c>
      <c r="D30" s="446"/>
      <c r="E30" s="446"/>
    </row>
    <row r="31" spans="2:5" s="438" customFormat="1" ht="31.5" x14ac:dyDescent="0.25">
      <c r="B31" s="444"/>
      <c r="C31" s="446" t="s">
        <v>333</v>
      </c>
      <c r="D31" s="448" t="s">
        <v>399</v>
      </c>
      <c r="E31" s="448" t="s">
        <v>392</v>
      </c>
    </row>
    <row r="32" spans="2:5" s="438" customFormat="1" ht="31.5" x14ac:dyDescent="0.25">
      <c r="B32" s="444"/>
      <c r="C32" s="446" t="s">
        <v>92</v>
      </c>
      <c r="D32" s="446"/>
      <c r="E32" s="446"/>
    </row>
    <row r="33" spans="2:5" s="438" customFormat="1" ht="47.25" x14ac:dyDescent="0.25">
      <c r="B33" s="444"/>
      <c r="C33" s="446" t="s">
        <v>334</v>
      </c>
      <c r="D33" s="446"/>
      <c r="E33" s="446"/>
    </row>
    <row r="34" spans="2:5" s="438" customFormat="1" ht="31.5" x14ac:dyDescent="0.25">
      <c r="B34" s="444"/>
      <c r="C34" s="446" t="s">
        <v>335</v>
      </c>
      <c r="D34" s="446"/>
      <c r="E34" s="446"/>
    </row>
    <row r="35" spans="2:5" s="438" customFormat="1" ht="31.5" x14ac:dyDescent="0.25">
      <c r="B35" s="444"/>
      <c r="C35" s="446" t="s">
        <v>336</v>
      </c>
      <c r="D35" s="448" t="s">
        <v>178</v>
      </c>
      <c r="E35" s="448" t="s">
        <v>178</v>
      </c>
    </row>
    <row r="36" spans="2:5" s="438" customFormat="1" ht="31.5" x14ac:dyDescent="0.25">
      <c r="B36" s="444"/>
      <c r="C36" s="446" t="s">
        <v>104</v>
      </c>
      <c r="D36" s="448" t="s">
        <v>104</v>
      </c>
      <c r="E36" s="448" t="s">
        <v>104</v>
      </c>
    </row>
    <row r="37" spans="2:5" s="438" customFormat="1" ht="31.5" x14ac:dyDescent="0.25">
      <c r="B37" s="444"/>
      <c r="C37" s="446" t="s">
        <v>337</v>
      </c>
      <c r="D37" s="446"/>
      <c r="E37" s="446"/>
    </row>
    <row r="38" spans="2:5" s="438" customFormat="1" ht="31.5" x14ac:dyDescent="0.25">
      <c r="B38" s="444"/>
      <c r="C38" s="446" t="s">
        <v>338</v>
      </c>
      <c r="D38" s="448" t="s">
        <v>109</v>
      </c>
      <c r="E38" s="448" t="s">
        <v>109</v>
      </c>
    </row>
    <row r="39" spans="2:5" s="438" customFormat="1" ht="31.5" x14ac:dyDescent="0.25">
      <c r="B39" s="444"/>
      <c r="C39" s="446" t="s">
        <v>339</v>
      </c>
      <c r="D39" s="446"/>
      <c r="E39" s="446"/>
    </row>
    <row r="40" spans="2:5" s="438" customFormat="1" ht="31.5" x14ac:dyDescent="0.25">
      <c r="B40" s="444"/>
      <c r="C40" s="446" t="s">
        <v>340</v>
      </c>
      <c r="D40" s="446"/>
      <c r="E40" s="446"/>
    </row>
    <row r="41" spans="2:5" s="438" customFormat="1" ht="31.5" x14ac:dyDescent="0.25">
      <c r="B41" s="444"/>
      <c r="C41" s="446" t="s">
        <v>341</v>
      </c>
      <c r="D41" s="446"/>
      <c r="E41" s="446"/>
    </row>
    <row r="42" spans="2:5" s="438" customFormat="1" ht="31.5" x14ac:dyDescent="0.25">
      <c r="B42" s="444"/>
      <c r="C42" s="446" t="s">
        <v>120</v>
      </c>
      <c r="D42" s="448" t="s">
        <v>120</v>
      </c>
      <c r="E42" s="448" t="s">
        <v>120</v>
      </c>
    </row>
    <row r="43" spans="2:5" s="438" customFormat="1" ht="33.75" customHeight="1" x14ac:dyDescent="0.25">
      <c r="B43" s="444"/>
      <c r="C43" s="446" t="s">
        <v>342</v>
      </c>
      <c r="D43" s="448" t="s">
        <v>279</v>
      </c>
      <c r="E43" s="448" t="s">
        <v>279</v>
      </c>
    </row>
    <row r="44" spans="2:5" s="438" customFormat="1" ht="33.75" customHeight="1" x14ac:dyDescent="0.25">
      <c r="B44" s="444"/>
      <c r="C44" s="446" t="s">
        <v>343</v>
      </c>
      <c r="D44" s="448" t="s">
        <v>277</v>
      </c>
      <c r="E44" s="448" t="s">
        <v>277</v>
      </c>
    </row>
    <row r="45" spans="2:5" s="438" customFormat="1" ht="33.75" customHeight="1" x14ac:dyDescent="0.25">
      <c r="B45" s="444"/>
      <c r="C45" s="446" t="s">
        <v>24</v>
      </c>
      <c r="D45" s="446" t="s">
        <v>24</v>
      </c>
      <c r="E45" s="446" t="s">
        <v>24</v>
      </c>
    </row>
    <row r="46" spans="2:5" s="438" customFormat="1" ht="33.75" customHeight="1" x14ac:dyDescent="0.25">
      <c r="B46" s="444"/>
      <c r="C46" s="446" t="s">
        <v>344</v>
      </c>
      <c r="D46" s="446" t="s">
        <v>344</v>
      </c>
      <c r="E46" s="446" t="s">
        <v>344</v>
      </c>
    </row>
    <row r="47" spans="2:5" s="438" customFormat="1" ht="31.5" x14ac:dyDescent="0.25">
      <c r="B47" s="444"/>
      <c r="C47" s="446" t="s">
        <v>345</v>
      </c>
      <c r="D47" s="446"/>
      <c r="E47" s="446"/>
    </row>
    <row r="48" spans="2:5" s="438" customFormat="1" x14ac:dyDescent="0.25">
      <c r="B48" s="444"/>
      <c r="C48" s="446" t="s">
        <v>346</v>
      </c>
      <c r="D48" s="446"/>
      <c r="E48" s="446"/>
    </row>
    <row r="49" spans="2:5" s="438" customFormat="1" ht="31.5" x14ac:dyDescent="0.25">
      <c r="B49" s="444"/>
      <c r="C49" s="446" t="s">
        <v>347</v>
      </c>
      <c r="D49" s="448" t="s">
        <v>278</v>
      </c>
      <c r="E49" s="448" t="s">
        <v>278</v>
      </c>
    </row>
    <row r="50" spans="2:5" s="438" customFormat="1" ht="32.25" customHeight="1" x14ac:dyDescent="0.25">
      <c r="B50" s="444"/>
      <c r="C50" s="446" t="s">
        <v>348</v>
      </c>
      <c r="D50" s="446"/>
      <c r="E50" s="446"/>
    </row>
    <row r="51" spans="2:5" s="438" customFormat="1" ht="32.25" customHeight="1" x14ac:dyDescent="0.25">
      <c r="B51" s="444"/>
      <c r="C51" s="446" t="s">
        <v>349</v>
      </c>
      <c r="D51" s="446"/>
      <c r="E51" s="446"/>
    </row>
    <row r="52" spans="2:5" s="438" customFormat="1" ht="32.25" customHeight="1" x14ac:dyDescent="0.25">
      <c r="B52" s="444"/>
      <c r="C52" s="446" t="s">
        <v>350</v>
      </c>
      <c r="D52" s="446"/>
      <c r="E52" s="446"/>
    </row>
    <row r="53" spans="2:5" s="438" customFormat="1" ht="32.25" customHeight="1" x14ac:dyDescent="0.25">
      <c r="B53" s="444"/>
      <c r="C53" s="446" t="s">
        <v>351</v>
      </c>
      <c r="D53" s="446"/>
      <c r="E53" s="446"/>
    </row>
    <row r="54" spans="2:5" s="438" customFormat="1" ht="32.25" customHeight="1" x14ac:dyDescent="0.25">
      <c r="B54" s="444"/>
      <c r="C54" s="446" t="s">
        <v>280</v>
      </c>
      <c r="D54" s="448" t="s">
        <v>280</v>
      </c>
      <c r="E54" s="448" t="s">
        <v>280</v>
      </c>
    </row>
    <row r="55" spans="2:5" s="438" customFormat="1" ht="32.25" customHeight="1" x14ac:dyDescent="0.25">
      <c r="B55" s="444"/>
      <c r="C55" s="446" t="s">
        <v>352</v>
      </c>
      <c r="D55" s="446"/>
      <c r="E55" s="446"/>
    </row>
    <row r="56" spans="2:5" s="438" customFormat="1" ht="47.25" x14ac:dyDescent="0.25">
      <c r="B56" s="444"/>
      <c r="C56" s="446" t="s">
        <v>353</v>
      </c>
      <c r="D56" s="446"/>
      <c r="E56" s="446"/>
    </row>
    <row r="57" spans="2:5" s="438" customFormat="1" ht="9.75" customHeight="1" x14ac:dyDescent="0.25">
      <c r="B57" s="444"/>
      <c r="C57" s="446"/>
      <c r="D57" s="446"/>
      <c r="E57" s="446"/>
    </row>
    <row r="58" spans="2:5" s="439" customFormat="1" ht="31.5" x14ac:dyDescent="0.25">
      <c r="B58" s="444">
        <v>6</v>
      </c>
      <c r="C58" s="447" t="s">
        <v>354</v>
      </c>
      <c r="D58" s="447" t="s">
        <v>354</v>
      </c>
      <c r="E58" s="447" t="s">
        <v>354</v>
      </c>
    </row>
    <row r="59" spans="2:5" s="438" customFormat="1" ht="31.5" x14ac:dyDescent="0.25">
      <c r="B59" s="444"/>
      <c r="C59" s="446" t="s">
        <v>355</v>
      </c>
      <c r="D59" s="446" t="s">
        <v>394</v>
      </c>
      <c r="E59" s="446" t="s">
        <v>394</v>
      </c>
    </row>
    <row r="60" spans="2:5" s="438" customFormat="1" ht="31.5" x14ac:dyDescent="0.25">
      <c r="B60" s="444"/>
      <c r="C60" s="446" t="s">
        <v>356</v>
      </c>
      <c r="D60" s="446" t="s">
        <v>118</v>
      </c>
      <c r="E60" s="446" t="s">
        <v>118</v>
      </c>
    </row>
    <row r="61" spans="2:5" s="438" customFormat="1" ht="32.25" customHeight="1" x14ac:dyDescent="0.25">
      <c r="B61" s="444"/>
      <c r="C61" s="449" t="s">
        <v>25</v>
      </c>
      <c r="D61" s="449" t="s">
        <v>25</v>
      </c>
      <c r="E61" s="449" t="s">
        <v>25</v>
      </c>
    </row>
    <row r="62" spans="2:5" s="438" customFormat="1" ht="32.25" customHeight="1" x14ac:dyDescent="0.25">
      <c r="B62" s="444"/>
      <c r="C62" s="446" t="s">
        <v>357</v>
      </c>
      <c r="D62" s="446"/>
      <c r="E62" s="446"/>
    </row>
    <row r="63" spans="2:5" s="438" customFormat="1" ht="32.25" customHeight="1" x14ac:dyDescent="0.25">
      <c r="B63" s="444"/>
      <c r="C63" s="450" t="s">
        <v>358</v>
      </c>
      <c r="D63" s="450" t="s">
        <v>396</v>
      </c>
      <c r="E63" s="450" t="s">
        <v>396</v>
      </c>
    </row>
    <row r="64" spans="2:5" s="438" customFormat="1" ht="33.75" customHeight="1" x14ac:dyDescent="0.25">
      <c r="B64" s="444"/>
      <c r="C64" s="446" t="s">
        <v>359</v>
      </c>
      <c r="D64" s="446" t="s">
        <v>184</v>
      </c>
      <c r="E64" s="446" t="s">
        <v>184</v>
      </c>
    </row>
    <row r="65" spans="2:5" s="438" customFormat="1" ht="33.75" customHeight="1" x14ac:dyDescent="0.25">
      <c r="B65" s="444"/>
      <c r="C65" s="446" t="s">
        <v>107</v>
      </c>
      <c r="D65" s="446" t="s">
        <v>395</v>
      </c>
      <c r="E65" s="446" t="s">
        <v>395</v>
      </c>
    </row>
    <row r="66" spans="2:5" s="438" customFormat="1" ht="33.75" customHeight="1" x14ac:dyDescent="0.25">
      <c r="B66" s="444"/>
      <c r="C66" s="446" t="s">
        <v>360</v>
      </c>
      <c r="D66" s="446" t="s">
        <v>360</v>
      </c>
      <c r="E66" s="446" t="s">
        <v>360</v>
      </c>
    </row>
    <row r="67" spans="2:5" s="438" customFormat="1" ht="33.75" customHeight="1" x14ac:dyDescent="0.25">
      <c r="B67" s="444"/>
      <c r="C67" s="450" t="s">
        <v>361</v>
      </c>
      <c r="D67" s="450"/>
      <c r="E67" s="450"/>
    </row>
    <row r="68" spans="2:5" s="438" customFormat="1" ht="30" customHeight="1" x14ac:dyDescent="0.25">
      <c r="B68" s="444"/>
      <c r="C68" s="446" t="s">
        <v>362</v>
      </c>
      <c r="D68" s="446"/>
      <c r="E68" s="446"/>
    </row>
    <row r="69" spans="2:5" s="438" customFormat="1" ht="8.25" customHeight="1" x14ac:dyDescent="0.25">
      <c r="B69" s="444"/>
      <c r="C69" s="446"/>
      <c r="D69" s="446"/>
      <c r="E69" s="446"/>
    </row>
    <row r="70" spans="2:5" s="438" customFormat="1" ht="31.5" x14ac:dyDescent="0.25">
      <c r="B70" s="444">
        <v>7</v>
      </c>
      <c r="C70" s="447" t="s">
        <v>363</v>
      </c>
      <c r="D70" s="447" t="s">
        <v>363</v>
      </c>
      <c r="E70" s="447" t="s">
        <v>363</v>
      </c>
    </row>
    <row r="71" spans="2:5" s="438" customFormat="1" ht="31.5" x14ac:dyDescent="0.25">
      <c r="B71" s="444"/>
      <c r="C71" s="446" t="s">
        <v>364</v>
      </c>
      <c r="D71" s="446"/>
      <c r="E71" s="446"/>
    </row>
    <row r="72" spans="2:5" s="438" customFormat="1" ht="12.75" customHeight="1" x14ac:dyDescent="0.25">
      <c r="B72" s="444"/>
      <c r="C72" s="446"/>
      <c r="D72" s="446"/>
      <c r="E72" s="446"/>
    </row>
    <row r="73" spans="2:5" s="438" customFormat="1" ht="31.5" x14ac:dyDescent="0.25">
      <c r="B73" s="444">
        <v>8</v>
      </c>
      <c r="C73" s="451" t="s">
        <v>125</v>
      </c>
      <c r="D73" s="451" t="s">
        <v>125</v>
      </c>
      <c r="E73" s="451" t="s">
        <v>125</v>
      </c>
    </row>
    <row r="74" spans="2:5" s="438" customFormat="1" ht="33.75" customHeight="1" x14ac:dyDescent="0.25">
      <c r="B74" s="444"/>
      <c r="C74" s="446" t="s">
        <v>365</v>
      </c>
      <c r="D74" s="448" t="s">
        <v>365</v>
      </c>
      <c r="E74" s="448" t="s">
        <v>365</v>
      </c>
    </row>
    <row r="75" spans="2:5" s="438" customFormat="1" ht="33.75" customHeight="1" x14ac:dyDescent="0.25">
      <c r="B75" s="444"/>
      <c r="C75" s="446" t="s">
        <v>126</v>
      </c>
      <c r="D75" s="448" t="s">
        <v>393</v>
      </c>
      <c r="E75" s="448" t="s">
        <v>393</v>
      </c>
    </row>
    <row r="76" spans="2:5" s="438" customFormat="1" ht="33.75" customHeight="1" x14ac:dyDescent="0.25">
      <c r="B76" s="444"/>
      <c r="C76" s="450" t="s">
        <v>366</v>
      </c>
      <c r="D76" s="448" t="s">
        <v>92</v>
      </c>
      <c r="E76" s="448" t="s">
        <v>92</v>
      </c>
    </row>
    <row r="77" spans="2:5" s="438" customFormat="1" ht="33.75" customHeight="1" x14ac:dyDescent="0.25">
      <c r="B77" s="444"/>
      <c r="C77" s="450" t="s">
        <v>367</v>
      </c>
      <c r="D77" s="448" t="s">
        <v>291</v>
      </c>
      <c r="E77" s="448" t="s">
        <v>291</v>
      </c>
    </row>
    <row r="78" spans="2:5" s="438" customFormat="1" ht="33.75" customHeight="1" x14ac:dyDescent="0.25">
      <c r="B78" s="444"/>
      <c r="C78" s="452" t="s">
        <v>368</v>
      </c>
      <c r="D78" s="450"/>
      <c r="E78" s="450"/>
    </row>
    <row r="79" spans="2:5" s="438" customFormat="1" ht="10.5" customHeight="1" x14ac:dyDescent="0.25">
      <c r="B79" s="444"/>
      <c r="C79" s="452"/>
      <c r="D79" s="450"/>
      <c r="E79" s="450"/>
    </row>
    <row r="80" spans="2:5" s="438" customFormat="1" ht="31.5" x14ac:dyDescent="0.25">
      <c r="B80" s="444">
        <v>9</v>
      </c>
      <c r="C80" s="447" t="s">
        <v>287</v>
      </c>
      <c r="D80" s="447" t="s">
        <v>287</v>
      </c>
      <c r="E80" s="447" t="s">
        <v>287</v>
      </c>
    </row>
    <row r="81" spans="2:5" s="438" customFormat="1" ht="27.75" customHeight="1" x14ac:dyDescent="0.25">
      <c r="B81" s="456"/>
      <c r="C81" s="453" t="s">
        <v>288</v>
      </c>
      <c r="D81" s="454" t="s">
        <v>288</v>
      </c>
      <c r="E81" s="454" t="s">
        <v>288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Form2-Kominfo</vt:lpstr>
      <vt:lpstr>EVALUASI RENJA TW 1 2017</vt:lpstr>
      <vt:lpstr>EVALUASI RENJA TW 2 2019</vt:lpstr>
      <vt:lpstr>Capaian Kinerja &amp; Realiss Angg</vt:lpstr>
      <vt:lpstr>Sheet1</vt:lpstr>
      <vt:lpstr>Sheet2</vt:lpstr>
      <vt:lpstr>'Capaian Kinerja &amp; Realiss Angg'!Print_Area</vt:lpstr>
      <vt:lpstr>'EVALUASI RENJA TW 1 2017'!Print_Area</vt:lpstr>
      <vt:lpstr>'EVALUASI RENJA TW 2 2019'!Print_Area</vt:lpstr>
      <vt:lpstr>'EVALUASI RENJA TW 1 2017'!Print_Titles</vt:lpstr>
      <vt:lpstr>'EVALUASI RENJA TW 2 2019'!Print_Titles</vt:lpstr>
      <vt:lpstr>'Form2-Kominfo'!Print_Titles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kominfo</cp:lastModifiedBy>
  <cp:lastPrinted>2019-07-17T02:27:49Z</cp:lastPrinted>
  <dcterms:created xsi:type="dcterms:W3CDTF">2013-09-30T02:28:42Z</dcterms:created>
  <dcterms:modified xsi:type="dcterms:W3CDTF">2019-07-17T07:57:53Z</dcterms:modified>
</cp:coreProperties>
</file>